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62" activeTab="4"/>
  </bookViews>
  <sheets>
    <sheet name="PROPOSTA" sheetId="13" r:id="rId1"/>
    <sheet name="SERVENTE REAL" sheetId="8" r:id="rId2"/>
    <sheet name="ENCARREGADO" sheetId="15" r:id="rId3"/>
    <sheet name="VI - Demonstrativo final REAL" sheetId="9" r:id="rId4"/>
    <sheet name="III - Insumos" sheetId="5" r:id="rId5"/>
    <sheet name="Uniforme" sheetId="7" r:id="rId6"/>
    <sheet name="TRANSPORTE" sheetId="14" r:id="rId7"/>
    <sheet name="Plan1" sheetId="16" r:id="rId8"/>
  </sheets>
  <definedNames>
    <definedName name="__BDI2" localSheetId="2">#REF!</definedName>
    <definedName name="__BDI2">#REF!</definedName>
    <definedName name="_BDI2" localSheetId="2">#REF!</definedName>
    <definedName name="_BDI2">#REF!</definedName>
    <definedName name="_xlnm._FilterDatabase" localSheetId="4" hidden="1">'III - Insumos'!$M$4:$Q$4</definedName>
    <definedName name="_xlnm.Print_Area" localSheetId="0">PROPOSTA!$A$1:$H$22</definedName>
    <definedName name="_xlnm.Print_Area" localSheetId="6">TRANSPORTE!$A$1:$G$19</definedName>
    <definedName name="BDI" localSheetId="2">#REF!</definedName>
    <definedName name="BDI">#REF!</definedName>
    <definedName name="DifBDI" localSheetId="2">#REF!</definedName>
    <definedName name="DifBDI">#REF!</definedName>
    <definedName name="DifBDI2" localSheetId="2">#REF!</definedName>
    <definedName name="DifBDI2">#REF!</definedName>
    <definedName name="_xlnm.Print_Titles" localSheetId="4">'III - Insumos'!$1:$4</definedName>
  </definedNames>
  <calcPr calcId="145621"/>
</workbook>
</file>

<file path=xl/calcChain.xml><?xml version="1.0" encoding="utf-8"?>
<calcChain xmlns="http://schemas.openxmlformats.org/spreadsheetml/2006/main">
  <c r="D33" i="9" l="1"/>
  <c r="D27" i="9"/>
  <c r="D20" i="9"/>
  <c r="D17" i="9"/>
  <c r="D14" i="9"/>
  <c r="D11" i="9"/>
  <c r="D8" i="9"/>
  <c r="E7" i="9" l="1"/>
  <c r="G44" i="9" l="1"/>
  <c r="E44" i="9"/>
  <c r="D13" i="9"/>
  <c r="D10" i="9"/>
  <c r="G38" i="9"/>
  <c r="I102" i="8"/>
  <c r="I75" i="8"/>
  <c r="I76" i="8"/>
  <c r="I77" i="8"/>
  <c r="I78" i="8"/>
  <c r="I79" i="8"/>
  <c r="F32" i="9"/>
  <c r="F33" i="9"/>
  <c r="G45" i="9"/>
  <c r="G42" i="9"/>
  <c r="G41" i="9"/>
  <c r="G40" i="9"/>
  <c r="G39" i="9"/>
  <c r="I57" i="8"/>
  <c r="B18" i="14"/>
  <c r="H38" i="15"/>
  <c r="H38" i="8"/>
  <c r="G43" i="9"/>
  <c r="E42" i="9"/>
  <c r="B134" i="15"/>
  <c r="B133" i="15"/>
  <c r="B135" i="15"/>
  <c r="B136" i="15"/>
  <c r="B137" i="15"/>
  <c r="B139" i="15"/>
  <c r="H129" i="15"/>
  <c r="H118" i="15"/>
  <c r="H128" i="15" s="1"/>
  <c r="H129" i="8"/>
  <c r="H130" i="8"/>
  <c r="H119" i="8"/>
  <c r="G10" i="7"/>
  <c r="F7" i="7"/>
  <c r="F6" i="7"/>
  <c r="F5" i="7"/>
  <c r="F4" i="7"/>
  <c r="Q72" i="5"/>
  <c r="Q74" i="5" s="1"/>
  <c r="H76" i="15"/>
  <c r="H95" i="15"/>
  <c r="I94" i="15"/>
  <c r="I95" i="15" s="1"/>
  <c r="H88" i="15"/>
  <c r="H87" i="15"/>
  <c r="H86" i="15"/>
  <c r="H85" i="15"/>
  <c r="H84" i="15"/>
  <c r="H89" i="8"/>
  <c r="H86" i="8"/>
  <c r="H87" i="8"/>
  <c r="H88" i="8"/>
  <c r="H85" i="8"/>
  <c r="H79" i="8"/>
  <c r="H77" i="8"/>
  <c r="H76" i="8"/>
  <c r="H74" i="8"/>
  <c r="H75" i="8" s="1"/>
  <c r="H91" i="8" l="1"/>
  <c r="H75" i="15" l="1"/>
  <c r="H78" i="15"/>
  <c r="H37" i="15"/>
  <c r="H37" i="8"/>
  <c r="K74" i="5" l="1"/>
  <c r="K72" i="5"/>
  <c r="E74" i="5"/>
  <c r="E72" i="5"/>
  <c r="G32" i="9"/>
  <c r="G33" i="9"/>
  <c r="D32" i="9"/>
  <c r="E45" i="9" s="1"/>
  <c r="D7" i="9" l="1"/>
  <c r="H73" i="15"/>
  <c r="H74" i="15" l="1"/>
  <c r="F9" i="7"/>
  <c r="F8" i="7"/>
  <c r="E8" i="5"/>
  <c r="E38" i="5"/>
  <c r="E47" i="5"/>
  <c r="E32" i="5"/>
  <c r="E15" i="5"/>
  <c r="E42" i="5"/>
  <c r="E17" i="5"/>
  <c r="E16" i="5"/>
  <c r="E14" i="5"/>
  <c r="E10" i="5"/>
  <c r="E11" i="5"/>
  <c r="E27" i="5"/>
  <c r="E5" i="5"/>
  <c r="H39" i="15" l="1"/>
  <c r="F45" i="9"/>
  <c r="H90" i="15"/>
  <c r="I57" i="15"/>
  <c r="H52" i="15"/>
  <c r="H77" i="15" s="1"/>
  <c r="I25" i="15"/>
  <c r="I56" i="15" s="1"/>
  <c r="I60" i="15" l="1"/>
  <c r="I67" i="15" s="1"/>
  <c r="H79" i="15"/>
  <c r="I27" i="15"/>
  <c r="I31" i="15" s="1"/>
  <c r="I133" i="15" l="1"/>
  <c r="I44" i="15"/>
  <c r="I100" i="15"/>
  <c r="I50" i="15"/>
  <c r="I46" i="15"/>
  <c r="I38" i="15"/>
  <c r="I48" i="15"/>
  <c r="I37" i="15"/>
  <c r="I51" i="15"/>
  <c r="I47" i="15"/>
  <c r="I49" i="15"/>
  <c r="I45" i="15"/>
  <c r="I39" i="15" l="1"/>
  <c r="I52" i="15"/>
  <c r="I66" i="15" s="1"/>
  <c r="P74" i="5"/>
  <c r="P75" i="5" s="1"/>
  <c r="P70" i="5"/>
  <c r="K70" i="5"/>
  <c r="E70" i="5"/>
  <c r="P69" i="5"/>
  <c r="K69" i="5"/>
  <c r="E69" i="5"/>
  <c r="P68" i="5"/>
  <c r="K68" i="5"/>
  <c r="E68" i="5"/>
  <c r="P67" i="5"/>
  <c r="K67" i="5"/>
  <c r="E67" i="5"/>
  <c r="P66" i="5"/>
  <c r="K66" i="5"/>
  <c r="E66" i="5"/>
  <c r="P65" i="5"/>
  <c r="K65" i="5"/>
  <c r="E65" i="5"/>
  <c r="P64" i="5"/>
  <c r="K64" i="5"/>
  <c r="E64" i="5"/>
  <c r="P63" i="5"/>
  <c r="K63" i="5"/>
  <c r="E63" i="5"/>
  <c r="P62" i="5"/>
  <c r="K62" i="5"/>
  <c r="E62" i="5"/>
  <c r="P61" i="5"/>
  <c r="K61" i="5"/>
  <c r="E61" i="5"/>
  <c r="P60" i="5"/>
  <c r="K60" i="5"/>
  <c r="E60" i="5"/>
  <c r="P59" i="5"/>
  <c r="K59" i="5"/>
  <c r="E59" i="5"/>
  <c r="P58" i="5"/>
  <c r="K58" i="5"/>
  <c r="E58" i="5"/>
  <c r="P57" i="5"/>
  <c r="K57" i="5"/>
  <c r="E57" i="5"/>
  <c r="P56" i="5"/>
  <c r="K56" i="5"/>
  <c r="E56" i="5"/>
  <c r="P55" i="5"/>
  <c r="K55" i="5"/>
  <c r="E55" i="5"/>
  <c r="P54" i="5"/>
  <c r="K54" i="5"/>
  <c r="E54" i="5"/>
  <c r="P53" i="5"/>
  <c r="K53" i="5"/>
  <c r="E53" i="5"/>
  <c r="P52" i="5"/>
  <c r="K52" i="5"/>
  <c r="P51" i="5"/>
  <c r="K51" i="5"/>
  <c r="E25" i="5"/>
  <c r="P50" i="5"/>
  <c r="K50" i="5"/>
  <c r="E6" i="5"/>
  <c r="P49" i="5"/>
  <c r="K49" i="5"/>
  <c r="P48" i="5"/>
  <c r="K48" i="5"/>
  <c r="P47" i="5"/>
  <c r="K47" i="5"/>
  <c r="P46" i="5"/>
  <c r="K46" i="5"/>
  <c r="E48" i="5"/>
  <c r="P45" i="5"/>
  <c r="K45" i="5"/>
  <c r="E45" i="5"/>
  <c r="P44" i="5"/>
  <c r="K44" i="5"/>
  <c r="P43" i="5"/>
  <c r="K43" i="5"/>
  <c r="E35" i="5"/>
  <c r="P42" i="5"/>
  <c r="K42" i="5"/>
  <c r="E36" i="5"/>
  <c r="P41" i="5"/>
  <c r="K41" i="5"/>
  <c r="E24" i="5"/>
  <c r="P40" i="5"/>
  <c r="K40" i="5"/>
  <c r="E21" i="5"/>
  <c r="P39" i="5"/>
  <c r="K39" i="5"/>
  <c r="E30" i="5"/>
  <c r="P38" i="5"/>
  <c r="K38" i="5"/>
  <c r="E9" i="5"/>
  <c r="P36" i="5"/>
  <c r="Q36" i="5" s="1"/>
  <c r="K36" i="5"/>
  <c r="E13" i="5"/>
  <c r="P35" i="5"/>
  <c r="Q35" i="5" s="1"/>
  <c r="K35" i="5"/>
  <c r="E12" i="5"/>
  <c r="P34" i="5"/>
  <c r="Q34" i="5" s="1"/>
  <c r="K34" i="5"/>
  <c r="E34" i="5"/>
  <c r="P33" i="5"/>
  <c r="Q33" i="5" s="1"/>
  <c r="K33" i="5"/>
  <c r="E33" i="5"/>
  <c r="P32" i="5"/>
  <c r="Q32" i="5" s="1"/>
  <c r="K32" i="5"/>
  <c r="E26" i="5"/>
  <c r="P31" i="5"/>
  <c r="Q31" i="5" s="1"/>
  <c r="K31" i="5"/>
  <c r="E7" i="5"/>
  <c r="P30" i="5"/>
  <c r="Q30" i="5" s="1"/>
  <c r="K30" i="5"/>
  <c r="E29" i="5"/>
  <c r="P15" i="5"/>
  <c r="Q15" i="5" s="1"/>
  <c r="K29" i="5"/>
  <c r="E20" i="5"/>
  <c r="P29" i="5"/>
  <c r="Q29" i="5" s="1"/>
  <c r="K28" i="5"/>
  <c r="E52" i="5"/>
  <c r="P17" i="5"/>
  <c r="Q17" i="5" s="1"/>
  <c r="K27" i="5"/>
  <c r="E51" i="5"/>
  <c r="P7" i="5"/>
  <c r="Q7" i="5" s="1"/>
  <c r="K26" i="5"/>
  <c r="E49" i="5"/>
  <c r="P28" i="5"/>
  <c r="Q28" i="5" s="1"/>
  <c r="K25" i="5"/>
  <c r="E50" i="5"/>
  <c r="P24" i="5"/>
  <c r="Q24" i="5" s="1"/>
  <c r="K24" i="5"/>
  <c r="E46" i="5"/>
  <c r="P25" i="5"/>
  <c r="Q25" i="5" s="1"/>
  <c r="K23" i="5"/>
  <c r="E43" i="5"/>
  <c r="P27" i="5"/>
  <c r="Q27" i="5" s="1"/>
  <c r="K22" i="5"/>
  <c r="E44" i="5"/>
  <c r="P26" i="5"/>
  <c r="Q26" i="5" s="1"/>
  <c r="K21" i="5"/>
  <c r="E40" i="5"/>
  <c r="P22" i="5"/>
  <c r="Q22" i="5" s="1"/>
  <c r="K20" i="5"/>
  <c r="E41" i="5"/>
  <c r="P23" i="5"/>
  <c r="Q23" i="5" s="1"/>
  <c r="K19" i="5"/>
  <c r="E39" i="5"/>
  <c r="P21" i="5"/>
  <c r="Q21" i="5" s="1"/>
  <c r="K18" i="5"/>
  <c r="E37" i="5"/>
  <c r="P20" i="5"/>
  <c r="Q20" i="5" s="1"/>
  <c r="K17" i="5"/>
  <c r="E31" i="5"/>
  <c r="P19" i="5"/>
  <c r="Q19" i="5" s="1"/>
  <c r="K16" i="5"/>
  <c r="E28" i="5"/>
  <c r="P10" i="5"/>
  <c r="Q10" i="5" s="1"/>
  <c r="K15" i="5"/>
  <c r="E23" i="5"/>
  <c r="P18" i="5"/>
  <c r="Q18" i="5" s="1"/>
  <c r="K14" i="5"/>
  <c r="E22" i="5"/>
  <c r="P16" i="5"/>
  <c r="Q16" i="5" s="1"/>
  <c r="K13" i="5"/>
  <c r="E19" i="5"/>
  <c r="P14" i="5"/>
  <c r="Q14" i="5" s="1"/>
  <c r="K12" i="5"/>
  <c r="E18" i="5"/>
  <c r="P12" i="5"/>
  <c r="Q12" i="5" s="1"/>
  <c r="J9" i="5"/>
  <c r="P11" i="5"/>
  <c r="Q11" i="5" s="1"/>
  <c r="J7" i="5"/>
  <c r="K7" i="5" s="1"/>
  <c r="P9" i="5"/>
  <c r="Q9" i="5" s="1"/>
  <c r="J6" i="5"/>
  <c r="K6" i="5" s="1"/>
  <c r="P8" i="5"/>
  <c r="Q8" i="5" s="1"/>
  <c r="J8" i="5"/>
  <c r="K8" i="5" s="1"/>
  <c r="P6" i="5"/>
  <c r="Q6" i="5" s="1"/>
  <c r="J11" i="5"/>
  <c r="K11" i="5" s="1"/>
  <c r="P13" i="5"/>
  <c r="Q13" i="5" s="1"/>
  <c r="J10" i="5"/>
  <c r="K10" i="5" s="1"/>
  <c r="P5" i="5"/>
  <c r="Q5" i="5" s="1"/>
  <c r="J5" i="5"/>
  <c r="I42" i="15" l="1"/>
  <c r="I71" i="15"/>
  <c r="I65" i="15"/>
  <c r="I68" i="15" s="1"/>
  <c r="I134" i="15" s="1"/>
  <c r="E75" i="5"/>
  <c r="J72" i="5"/>
  <c r="K9" i="5"/>
  <c r="K5" i="5"/>
  <c r="Q75" i="5"/>
  <c r="F43" i="9"/>
  <c r="E38" i="9"/>
  <c r="I73" i="15" l="1"/>
  <c r="I76" i="15"/>
  <c r="I78" i="15"/>
  <c r="I75" i="15"/>
  <c r="I74" i="15"/>
  <c r="I77" i="15"/>
  <c r="I107" i="8"/>
  <c r="I109" i="8"/>
  <c r="I79" i="15" l="1"/>
  <c r="I135" i="15" s="1"/>
  <c r="I108" i="8"/>
  <c r="I82" i="15" l="1"/>
  <c r="I88" i="15" s="1"/>
  <c r="I87" i="15"/>
  <c r="I89" i="15"/>
  <c r="I86" i="15"/>
  <c r="E12" i="14"/>
  <c r="F12" i="14"/>
  <c r="G12" i="14" s="1"/>
  <c r="E11" i="14"/>
  <c r="F11" i="14"/>
  <c r="E10" i="14"/>
  <c r="F10" i="14"/>
  <c r="G10" i="14" s="1"/>
  <c r="I85" i="15" l="1"/>
  <c r="I84" i="15"/>
  <c r="I90" i="15" s="1"/>
  <c r="G11" i="14"/>
  <c r="D26" i="9"/>
  <c r="D19" i="9"/>
  <c r="D16" i="9"/>
  <c r="E41" i="9" s="1"/>
  <c r="E40" i="9"/>
  <c r="E39" i="9"/>
  <c r="I156" i="8"/>
  <c r="I150" i="8"/>
  <c r="B140" i="8"/>
  <c r="B138" i="8"/>
  <c r="B137" i="8"/>
  <c r="B136" i="8"/>
  <c r="B135" i="8"/>
  <c r="B134" i="8"/>
  <c r="H96" i="8"/>
  <c r="I58" i="8"/>
  <c r="H53" i="8"/>
  <c r="H78" i="8" s="1"/>
  <c r="H39" i="8"/>
  <c r="I26" i="8"/>
  <c r="G9" i="7"/>
  <c r="G8" i="7"/>
  <c r="G7" i="7"/>
  <c r="G6" i="7"/>
  <c r="G5" i="7"/>
  <c r="G4" i="7"/>
  <c r="I99" i="15" l="1"/>
  <c r="I101" i="15" s="1"/>
  <c r="I136" i="15" s="1"/>
  <c r="I61" i="8"/>
  <c r="I68" i="8" s="1"/>
  <c r="H80" i="8"/>
  <c r="I28" i="8"/>
  <c r="I32" i="8" s="1"/>
  <c r="F10" i="7"/>
  <c r="I38" i="8" l="1"/>
  <c r="I105" i="15"/>
  <c r="I109" i="15" s="1"/>
  <c r="I106" i="8"/>
  <c r="I110" i="8" s="1"/>
  <c r="G46" i="9"/>
  <c r="I37" i="8"/>
  <c r="I95" i="8"/>
  <c r="I96" i="8" s="1"/>
  <c r="I101" i="8" s="1"/>
  <c r="I134" i="8"/>
  <c r="I137" i="15" l="1"/>
  <c r="I138" i="15" s="1"/>
  <c r="I112" i="15"/>
  <c r="I39" i="8"/>
  <c r="I116" i="15" l="1"/>
  <c r="I43" i="8"/>
  <c r="I48" i="8" s="1"/>
  <c r="I72" i="8"/>
  <c r="I74" i="8" s="1"/>
  <c r="I80" i="8" s="1"/>
  <c r="I136" i="8" s="1"/>
  <c r="I66" i="8"/>
  <c r="I117" i="15" l="1"/>
  <c r="I129" i="15" s="1"/>
  <c r="I49" i="8"/>
  <c r="I47" i="8"/>
  <c r="I46" i="8"/>
  <c r="I50" i="8"/>
  <c r="I52" i="8"/>
  <c r="I51" i="8"/>
  <c r="I45" i="8"/>
  <c r="I118" i="15" l="1"/>
  <c r="I128" i="15"/>
  <c r="I139" i="15" s="1"/>
  <c r="I140" i="15" s="1"/>
  <c r="I53" i="8"/>
  <c r="I67" i="8" s="1"/>
  <c r="I69" i="8" s="1"/>
  <c r="I135" i="8" s="1"/>
  <c r="H33" i="9" l="1"/>
  <c r="E20" i="9"/>
  <c r="E8" i="9"/>
  <c r="F8" i="9" s="1"/>
  <c r="G8" i="9" s="1"/>
  <c r="E17" i="9"/>
  <c r="F17" i="9" s="1"/>
  <c r="C145" i="15"/>
  <c r="G145" i="15" s="1"/>
  <c r="I145" i="15" s="1"/>
  <c r="I146" i="15" s="1"/>
  <c r="E14" i="9" s="1"/>
  <c r="F14" i="9" s="1"/>
  <c r="G14" i="9" s="1"/>
  <c r="H14" i="9" s="1"/>
  <c r="E27" i="9"/>
  <c r="F27" i="9" s="1"/>
  <c r="G27" i="9" s="1"/>
  <c r="H27" i="9" s="1"/>
  <c r="E11" i="9"/>
  <c r="I83" i="8"/>
  <c r="I90" i="8" s="1"/>
  <c r="I33" i="9"/>
  <c r="J33" i="9" s="1"/>
  <c r="F11" i="9" l="1"/>
  <c r="G11" i="9" s="1"/>
  <c r="H11" i="9" s="1"/>
  <c r="F20" i="9"/>
  <c r="G20" i="9" s="1"/>
  <c r="H20" i="9" s="1"/>
  <c r="G17" i="9"/>
  <c r="H17" i="9" s="1"/>
  <c r="I89" i="8"/>
  <c r="H8" i="9"/>
  <c r="I88" i="8"/>
  <c r="I86" i="8"/>
  <c r="I85" i="8"/>
  <c r="I87" i="8"/>
  <c r="I91" i="8" l="1"/>
  <c r="I100" i="8" s="1"/>
  <c r="I113" i="8" s="1"/>
  <c r="K33" i="9"/>
  <c r="I137" i="8" l="1"/>
  <c r="I117" i="8" l="1"/>
  <c r="I118" i="8" s="1"/>
  <c r="I130" i="8" l="1"/>
  <c r="I161" i="8"/>
  <c r="E26" i="9" s="1"/>
  <c r="F26" i="9" s="1"/>
  <c r="I119" i="8"/>
  <c r="I129" i="8" s="1"/>
  <c r="I160" i="8" s="1"/>
  <c r="I138" i="8"/>
  <c r="I139" i="8" s="1"/>
  <c r="E16" i="9" l="1"/>
  <c r="F16" i="9" s="1"/>
  <c r="H32" i="9"/>
  <c r="I32" i="9" s="1"/>
  <c r="E13" i="9"/>
  <c r="F13" i="9" s="1"/>
  <c r="G26" i="9"/>
  <c r="E10" i="9"/>
  <c r="F10" i="9" s="1"/>
  <c r="E19" i="9"/>
  <c r="F19" i="9" s="1"/>
  <c r="F7" i="9"/>
  <c r="F9" i="9" s="1"/>
  <c r="G7" i="9" l="1"/>
  <c r="G9" i="9"/>
  <c r="H9" i="9" s="1"/>
  <c r="J32" i="9"/>
  <c r="J34" i="9" s="1"/>
  <c r="I34" i="9"/>
  <c r="H7" i="9"/>
  <c r="D12" i="13" l="1"/>
  <c r="C166" i="8"/>
  <c r="F166" i="8" s="1"/>
  <c r="I155" i="8" l="1"/>
  <c r="I158" i="8" s="1"/>
  <c r="I157" i="8" l="1"/>
  <c r="I140" i="8"/>
  <c r="I141" i="8" s="1"/>
  <c r="G13" i="9" l="1"/>
  <c r="G19" i="9"/>
  <c r="H19" i="9" s="1"/>
  <c r="G16" i="9"/>
  <c r="H16" i="9" s="1"/>
  <c r="G15" i="9" l="1"/>
  <c r="H15" i="9" s="1"/>
  <c r="H13" i="9"/>
  <c r="F28" i="9"/>
  <c r="G28" i="9" s="1"/>
  <c r="H28" i="9" s="1"/>
  <c r="H26" i="9"/>
  <c r="F21" i="9"/>
  <c r="G21" i="9" s="1"/>
  <c r="H21" i="9" s="1"/>
  <c r="F18" i="9"/>
  <c r="G18" i="9" s="1"/>
  <c r="H18" i="9" s="1"/>
  <c r="F15" i="9"/>
  <c r="F12" i="9" l="1"/>
  <c r="G10" i="9"/>
  <c r="E12" i="13"/>
  <c r="D51" i="9"/>
  <c r="G51" i="9" s="1"/>
  <c r="C165" i="8"/>
  <c r="F165" i="8" s="1"/>
  <c r="D11" i="13"/>
  <c r="E11" i="13" s="1"/>
  <c r="H10" i="9" l="1"/>
  <c r="G12" i="9"/>
  <c r="H12" i="9" s="1"/>
  <c r="K32" i="9"/>
  <c r="K34" i="9" s="1"/>
  <c r="H22" i="9" l="1"/>
  <c r="G22" i="9"/>
  <c r="D50" i="9" s="1"/>
  <c r="G50" i="9" s="1"/>
  <c r="D52" i="9"/>
  <c r="G52" i="9" s="1"/>
  <c r="G53" i="9" l="1"/>
  <c r="C164" i="8"/>
  <c r="F164" i="8" s="1"/>
  <c r="F167" i="8" s="1"/>
  <c r="D10" i="13"/>
  <c r="D13" i="13" s="1"/>
  <c r="D53" i="9"/>
  <c r="B20" i="13" l="1"/>
  <c r="C20" i="13" s="1"/>
  <c r="C21" i="13" s="1"/>
  <c r="C167" i="8"/>
  <c r="E10" i="13"/>
  <c r="E13" i="13" s="1"/>
  <c r="D20" i="13" l="1"/>
  <c r="D21" i="13" s="1"/>
  <c r="F20" i="13"/>
  <c r="G20" i="13" s="1"/>
  <c r="G21" i="13" s="1"/>
  <c r="B21" i="13"/>
  <c r="E20" i="13" l="1"/>
  <c r="E21" i="13" s="1"/>
  <c r="F21" i="13"/>
</calcChain>
</file>

<file path=xl/sharedStrings.xml><?xml version="1.0" encoding="utf-8"?>
<sst xmlns="http://schemas.openxmlformats.org/spreadsheetml/2006/main" count="852" uniqueCount="386">
  <si>
    <t>Descrição</t>
  </si>
  <si>
    <t>Área interna</t>
  </si>
  <si>
    <t>Esquadrias</t>
  </si>
  <si>
    <t>Face interna/externa sem exposição ao risco</t>
  </si>
  <si>
    <t>PLANILHA DE CUSTOS E FORMAÇÃO DE PREÇOS</t>
  </si>
  <si>
    <t>I - PREÇO MENSAL UNITÁRIO POR M²</t>
  </si>
  <si>
    <t>ÁREA INTERNA (PISOS FRIOS E ACARPETADOS)</t>
  </si>
  <si>
    <t>Mão-de-obra (SERVENTE)</t>
  </si>
  <si>
    <t>Produtividade por m²</t>
  </si>
  <si>
    <t>(1) Produtividade (1/m²)</t>
  </si>
  <si>
    <t>(2) Preço homem-mês (R$)</t>
  </si>
  <si>
    <t>(1 X 2)
Subtotal (R$/m²)</t>
  </si>
  <si>
    <t>TOTAL</t>
  </si>
  <si>
    <t>ÁREA EXTERNA (PISOS PAVIMENTADOS ADJACENTES/CONTÍGUOS ÀS EDIFICAÇÕES)</t>
  </si>
  <si>
    <t>Mão-de-obra</t>
  </si>
  <si>
    <t>Servente</t>
  </si>
  <si>
    <t>(2) Frequência no mês (horas)</t>
  </si>
  <si>
    <t>(3) Jornada trab. mensal (horas)</t>
  </si>
  <si>
    <t>(4) = (1 X 2 X 3)
Ki</t>
  </si>
  <si>
    <t>(5) Preço homem-mês (R$)</t>
  </si>
  <si>
    <t>(4 X 5)
Subtotal (R$/m²)</t>
  </si>
  <si>
    <t>II - QUANTIDADE MÍNIMA DE POSTOS DE TRABALHO</t>
  </si>
  <si>
    <t>Tipo de área</t>
  </si>
  <si>
    <t>(1) Produtividade/ Ki</t>
  </si>
  <si>
    <t>(2) Área (m²)</t>
  </si>
  <si>
    <t>(3) = (1 X 2) Qtde. mínima de postos de trabalho</t>
  </si>
  <si>
    <t>Área Interna- LABORATÓRIO</t>
  </si>
  <si>
    <t>Área Interna- ALMOXARIFADO</t>
  </si>
  <si>
    <t>Área Interna - PISOS FRIOS</t>
  </si>
  <si>
    <t>Área Interna- BANHEIROS</t>
  </si>
  <si>
    <t>Área Externa (Pisos Pavimentados Adjacentes/Contíguos Às Edificações)</t>
  </si>
  <si>
    <t>Posto de trabalho</t>
  </si>
  <si>
    <t>Valor unitário</t>
  </si>
  <si>
    <t>Total</t>
  </si>
  <si>
    <t>Área externa (pisos pavimentados)</t>
  </si>
  <si>
    <t>TOTAL ÁREA INTERNA</t>
  </si>
  <si>
    <t>Ttotal - Serventes</t>
  </si>
  <si>
    <t>Preço unitário</t>
  </si>
  <si>
    <t>MÁQUINAS E EQUIPAMENTOS</t>
  </si>
  <si>
    <t>Quantidade</t>
  </si>
  <si>
    <t>Custo mensal de depreciação</t>
  </si>
  <si>
    <t>(especificar)</t>
  </si>
  <si>
    <t>Total de material de consumo</t>
  </si>
  <si>
    <t>Quantidade total de postos de trabalho</t>
  </si>
  <si>
    <t>Valor unitário por posto de trabalho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</si>
  <si>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</si>
  <si>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</si>
  <si>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</si>
  <si>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</si>
  <si>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</si>
  <si>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</si>
  <si>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</si>
  <si>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</si>
  <si>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</si>
  <si>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</si>
  <si>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</si>
  <si>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</si>
  <si>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</si>
  <si>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Limpeza</t>
  </si>
  <si>
    <t>Área (m2)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</si>
  <si>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</si>
  <si>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</si>
  <si>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</si>
  <si>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</si>
  <si>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</si>
  <si>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</si>
  <si>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</si>
  <si>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</si>
  <si>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</si>
  <si>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</si>
  <si>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</si>
  <si>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</si>
  <si>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</si>
  <si>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</si>
  <si>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</si>
  <si>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</si>
  <si>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</si>
  <si>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G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</si>
  <si>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</si>
  <si>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</si>
  <si>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</si>
  <si>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</si>
  <si>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</si>
  <si>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</si>
  <si>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</si>
  <si>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</si>
  <si>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</si>
  <si>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</si>
  <si>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</si>
  <si>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</si>
  <si>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</si>
  <si>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</si>
  <si>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</si>
  <si>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</si>
  <si>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</si>
  <si>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</si>
  <si>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>-</t>
  </si>
  <si>
    <t xml:space="preserve">Auxílio-Refeição/Alimentação </t>
  </si>
  <si>
    <t xml:space="preserve">Assistência Médica e Familiar 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</si>
  <si>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</si>
  <si>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</si>
  <si>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</si>
  <si>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</si>
  <si>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</si>
  <si>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</si>
  <si>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</si>
  <si>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</si>
  <si>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</si>
  <si>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</si>
  <si>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</si>
  <si>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</si>
  <si>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Incidência do FGTS sobre Aviso Prévio Indenizado</t>
  </si>
  <si>
    <t>Incidência dos encargos do submódulo 2.2 sobre Aviso Prévio Trabalhado</t>
  </si>
  <si>
    <t>TOTAL DO MÓDULO 3</t>
  </si>
  <si>
    <t>MÓDULO 4 – CUSTO DE REPOSIÇÃO DO PROFISSIONAL AUSENTE</t>
  </si>
  <si>
    <t>TOTAL SUBMÓDULO 4.1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</si>
  <si>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</si>
  <si>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</si>
  <si>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</si>
  <si>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</si>
  <si>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4.2</t>
  </si>
  <si>
    <t>TOTAL DO MÓDULO 4</t>
  </si>
  <si>
    <t>MÓDULO 5 – INSUMOS DIVERSOS</t>
  </si>
  <si>
    <t>INSUMOS DIVERSOS</t>
  </si>
  <si>
    <t xml:space="preserve">Uniformes 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</si>
  <si>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</si>
  <si>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</si>
  <si>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</si>
  <si>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</si>
  <si>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</si>
  <si>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</si>
  <si>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</si>
  <si>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</si>
  <si>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</si>
  <si>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</si>
  <si>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</si>
  <si>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</si>
  <si>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</si>
  <si>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</si>
  <si>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</si>
  <si>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</si>
  <si>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</si>
  <si>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</si>
  <si>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</si>
  <si>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</si>
  <si>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</si>
  <si>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</si>
  <si>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</si>
  <si>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</si>
  <si>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</si>
  <si>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</si>
  <si>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</si>
  <si>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Valor proposto por unidade de medida*</t>
  </si>
  <si>
    <t>Valor mensal do serviço</t>
  </si>
  <si>
    <t>Valor Global da Proposta (valor mensal do serviço X nº meses do contrato).</t>
  </si>
  <si>
    <t>Nota(1):</t>
  </si>
  <si>
    <t>Informar o valor da unidade de medida por tipo de serviço.</t>
  </si>
  <si>
    <t xml:space="preserve">PLANILHA DE UNIFORMES </t>
  </si>
  <si>
    <t xml:space="preserve">Item </t>
  </si>
  <si>
    <t>UND.</t>
  </si>
  <si>
    <t xml:space="preserve">Quant. Anual </t>
  </si>
  <si>
    <t>Valor Unit. (R$)</t>
  </si>
  <si>
    <t>Valor Anual (R$)</t>
  </si>
  <si>
    <t>Valor Mensal(R$)</t>
  </si>
  <si>
    <t>Und.</t>
  </si>
  <si>
    <t>Par</t>
  </si>
  <si>
    <t>Crachá em PVC, com foto e logomarca da empresa e identificação do empregado</t>
  </si>
  <si>
    <t>BOA VISTA</t>
  </si>
  <si>
    <t>Limpeza e Conservação</t>
  </si>
  <si>
    <t>5143-20</t>
  </si>
  <si>
    <t>01.01.2017</t>
  </si>
  <si>
    <t>Valor mensal por posto de trabalho</t>
  </si>
  <si>
    <t>valor mensal</t>
  </si>
  <si>
    <t>valor anual</t>
  </si>
  <si>
    <t>Valor mensal</t>
  </si>
  <si>
    <t>VALOR ANUAL</t>
  </si>
  <si>
    <t>Quantitativo (MÊS)</t>
  </si>
  <si>
    <t>PREÇO GLOBAL</t>
  </si>
  <si>
    <t>REGIME DE TRIBUTAÇÃO: LUCRO REAL</t>
  </si>
  <si>
    <r>
      <t xml:space="preserve">Aviso Prévio Indenizado </t>
    </r>
    <r>
      <rPr>
        <sz val="10"/>
        <color rgb="FFFF0000"/>
        <rFont val="Times New Roman"/>
        <family val="1"/>
      </rPr>
      <t>Cálculo do valor = 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</t>
    </r>
  </si>
  <si>
    <t>POSTO</t>
  </si>
  <si>
    <t>PLANILHA DE FORMAÇÃO DE PREÇOS</t>
  </si>
  <si>
    <t>SERVIÇOS AS SEREM CONTRATADOS</t>
  </si>
  <si>
    <t>QUANTIDADE</t>
  </si>
  <si>
    <t>CARGA HORARIA SEMANAL</t>
  </si>
  <si>
    <t>VL ANUAL</t>
  </si>
  <si>
    <t>ESTIMADO DELES</t>
  </si>
  <si>
    <t xml:space="preserve">Valor Total Estimado (R$) </t>
  </si>
  <si>
    <t>LIMPEZA E CONSERVAÇÃO</t>
  </si>
  <si>
    <t>Área Interna</t>
  </si>
  <si>
    <t>Área Externa</t>
  </si>
  <si>
    <t>LUCRO REAL</t>
  </si>
  <si>
    <t>VL MENSAL</t>
  </si>
  <si>
    <t>LUCRO PRESUMIDO</t>
  </si>
  <si>
    <t>SIMPLES NACIONAL</t>
  </si>
  <si>
    <t xml:space="preserve">Possíveis cenários de acordo com Regime Tributário </t>
  </si>
  <si>
    <t xml:space="preserve">Valor Global Estimado (R$) </t>
  </si>
  <si>
    <t>REGIME TRIBUTÁRIO: LUCRO REAL</t>
  </si>
  <si>
    <t>Considerando que a maior carga tributária incide sobre o regime Lucro Real, assim teríamos uma possível redução de 6% do valor total por posto para o Lucro Presumido e aproximadamente 10% para o Simples Nacional, de acordo com o demonstrativo abaixo.</t>
  </si>
  <si>
    <t>ESQUADRIA</t>
  </si>
  <si>
    <t xml:space="preserve">III -VERIFICAÇÃO DO PREÇO </t>
  </si>
  <si>
    <t>VALE TRANSPORTE PERIMETRO URBANO</t>
  </si>
  <si>
    <t>VALOR UNITÁRIO DO VALE TRANSPORTE</t>
  </si>
  <si>
    <t>*Fornecimento de Vale transporte conforme Decreto nº 95.247, de 17 de novembro de 1987 Regulamenta a Lei nº 7418, de 16 de dezembro de 1985, que institui o Vale-Transporte, com a alteração da Lei nº 7619, de 30 de setembro de 1987.</t>
  </si>
  <si>
    <t>CATEGORIA PROFISSIONAL</t>
  </si>
  <si>
    <t>SALÁRIO BASE</t>
  </si>
  <si>
    <t>QTD VALE TRANSPORTE MÊS</t>
  </si>
  <si>
    <t>VALOR TOTAL DO VALE TRANSPORTE</t>
  </si>
  <si>
    <t>DESCONTO DO TRABALHADOR 6%</t>
  </si>
  <si>
    <t>VALOR A SER CONSIDERADO</t>
  </si>
  <si>
    <t xml:space="preserve">SERVIÇOS DIVERSOS </t>
  </si>
  <si>
    <t>COPEIRA</t>
  </si>
  <si>
    <t>RECEPCIONISTA</t>
  </si>
  <si>
    <t>Valor de Vale-Alimentação/dia</t>
  </si>
  <si>
    <t>Desconto do traballhador (desconto 0,25*22)</t>
  </si>
  <si>
    <t>valor total do auxilio alimentação</t>
  </si>
  <si>
    <t>SERVENTE</t>
  </si>
  <si>
    <t>VALE ALIMENTAÇÃO</t>
  </si>
  <si>
    <t>Aspirador de água e pó com rodízio – Cap 25 litros, mínimo de 1300w de potencia</t>
  </si>
  <si>
    <t>Máquina de lavar jato com potência mínima de 1600w e/ou pressão trab de 1600 libras ou superior</t>
  </si>
  <si>
    <t>Roçadeira manual combustão (roçadeira lateral à gasolina 2.0 hp 40 cilindradas 2 tempos</t>
  </si>
  <si>
    <t>Cortador de grama com potência mínima de 1000w 220v</t>
  </si>
  <si>
    <t>Carro de mão tipo caçamba</t>
  </si>
  <si>
    <t>Carro funcional para limpeza (marca e modelo de referencia américa verde com balde, cavalete e espremedor CF207c Bralímpia/lixeira com rwtirada frontal do lixo)</t>
  </si>
  <si>
    <t>Valor anual</t>
  </si>
  <si>
    <t>QNT</t>
  </si>
  <si>
    <t>Total  de máquinas e equipamentos</t>
  </si>
  <si>
    <t>Adaptador de mangueira 3/4” para jardim</t>
  </si>
  <si>
    <t>Carrinho Coletor, em plástico com duas rodas para coleta de lixo, 240 litros. Deverá possuir dreno para higienização e tampa de abertura lateral ou bipartida.</t>
  </si>
  <si>
    <t>Carretel de fio de nylon para cortador de grama (fio de nylon 3,0 mm vermelho quadrado bobina com 195 metros)</t>
  </si>
  <si>
    <t>Conjunto de Lixeiras para Coleta Seletiva em Plástico com Tampa Vai e Vem Quadrada de 50 Litros com 4 Cores e Suporte</t>
  </si>
  <si>
    <t>Desentupidor de pia</t>
  </si>
  <si>
    <t>Desentupidor de vaso sanitário</t>
  </si>
  <si>
    <t>Enxada com cabo</t>
  </si>
  <si>
    <t>Escada de abrir de alumínio com 7 degraus</t>
  </si>
  <si>
    <t>Espanador de fibra sintética tam. Médio</t>
  </si>
  <si>
    <t>Irrigador giratório tipo patinha para jardim</t>
  </si>
  <si>
    <t>Pá tamanho grande com cabo (ref. Pá quadrada- com cabo- 77465/334 tramontina)</t>
  </si>
  <si>
    <t>Rodo com espuma sem borracha, cabo de madeira. Medidas: 17cm x 26cm x 23,5cm.</t>
  </si>
  <si>
    <t>Rodo pequeno plástico 40 cm, Medidas: 39,5 x 8 x 3,5cm.</t>
  </si>
  <si>
    <t>Tesoura para cortar grama</t>
  </si>
  <si>
    <t>Vassoura Piaçava Sintética 60cm Cabo de Madeira 120m</t>
  </si>
  <si>
    <t xml:space="preserve">Vassoura de nylon cerdas duras, com cabo de madeira plastificado de 1,20cm, número 4 </t>
  </si>
  <si>
    <t>Vassoura vasculho – limpa teto</t>
  </si>
  <si>
    <t>Vassourinha para limpeza de aparelho sanitário</t>
  </si>
  <si>
    <t>Área Interna - ÁREA C/ ESPAÇO LIVRE</t>
  </si>
  <si>
    <t>Qnt anual</t>
  </si>
  <si>
    <t>Custo anual</t>
  </si>
  <si>
    <t>Lustra móvel – frasco com 200ml</t>
  </si>
  <si>
    <t>Luvas em látex de borracha natural, internamente forrada com flocos de algodão, tamanho médio, cor amarelo, pacote com duas (utilização na limpeza geral, exclusive os banheiros).</t>
  </si>
  <si>
    <t>Palha de aço grossa (pacote com 01 unidade)</t>
  </si>
  <si>
    <t>Papel higiênico branco rolão, de 1ª qualidade, alta absorção, com 300m (caixa contendo 08 unidades)</t>
  </si>
  <si>
    <t>ANUAL</t>
  </si>
  <si>
    <t>LISTA DE FERRAMENTAS E UTENSÍLIOS DE LIMPEZA E CONSERVAÇÃO</t>
  </si>
  <si>
    <t xml:space="preserve">MATERIAL DE CONSUMODE LIMPEZA E CONSERVAÇÃO </t>
  </si>
  <si>
    <t xml:space="preserve">Custo mensal </t>
  </si>
  <si>
    <t>Lavadora e Secadora de Piso automática, bateria ou energia elétrica, com modo econômico de energia e água. Performance mínima de 2.000 m2 por hora, 1300W, Capacidade mínima de 40L.</t>
  </si>
  <si>
    <t>Máscaras descartáveis – caixa com 100 unidades</t>
  </si>
  <si>
    <t>Pano de chão, material mínimo 90% algodão, medindo no mínimo 30x50</t>
  </si>
  <si>
    <t xml:space="preserve">Saco de lixo, capacidade de 200 litros, material polietileno, cor preta, tamanho 90cm x 120cm, espessura de 12 micras </t>
  </si>
  <si>
    <t>Limpa vidro, frasco com 500ml</t>
  </si>
  <si>
    <t>Sabão em barra glicerinado, pacote com 5 barras de 200g.</t>
  </si>
  <si>
    <t>Saponáceo cremoso, frasco com 300ml</t>
  </si>
  <si>
    <t>Utensílios</t>
  </si>
  <si>
    <t>LICITAÇÃO Nº 11/2018</t>
  </si>
  <si>
    <t xml:space="preserve">CAMPOS BOA VISTA </t>
  </si>
  <si>
    <t>Encarregado</t>
  </si>
  <si>
    <t>Filtro de pano lavável para aspirador de pó e água</t>
  </si>
  <si>
    <t>Espátula de aço inoxidável pequena</t>
  </si>
  <si>
    <t>Mangueira flexível  ¾” com 50m</t>
  </si>
  <si>
    <t>Rodo plástico grande 60cm,  Medidas: 12,5cm x 60cm x 13cm.</t>
  </si>
  <si>
    <t>Suporte Papel Higiênico rolão de 300 ou 500 metros (acompanha chave que permite a abertura somente por pesoas autorizadas)</t>
  </si>
  <si>
    <t>Suporte de papel toalha interfolhadas emplástico ABS branco de alta qualidade. Modelo para papel de 2 e 3 dobras. Indicado para uso profissional ou banheiros públicos (alto fluxo). Acompanha chave que permite a abertura somente por pessoas autorizadas. Dimensões: A 30cm x L 26cm x P 12cm</t>
  </si>
  <si>
    <t>Escavador manual (boca de lobo)</t>
  </si>
  <si>
    <t>Lima de amolar enxada</t>
  </si>
  <si>
    <t>Ancinho curvo com 16 dentes - marca de referência Tramontina (ciscador com cabo)</t>
  </si>
  <si>
    <t>Facão tipo patacho 20”</t>
  </si>
  <si>
    <t>Óculos de proteção incolor</t>
  </si>
  <si>
    <t>Cesto de lixo telado 10L plástico, medida do produto: 250mm x 255mm. para salas e banheiros</t>
  </si>
  <si>
    <t>Cesto de lixo telado 30L plástico, com tampa</t>
  </si>
  <si>
    <t>Balde plástico 30L com alça</t>
  </si>
  <si>
    <t>Balde plástico, alça de arame, capacidade 8L</t>
  </si>
  <si>
    <t>Lixeira plástica com pedal 15L</t>
  </si>
  <si>
    <t>Escova de mão, com cerda de polipripileno</t>
  </si>
  <si>
    <t>Extensão elétrica 10/20a 100 metros 2 tomadas cabo pp 2x4,0m</t>
  </si>
  <si>
    <t>Pá de lixo plástica com cabo e caixa de recolhimento, Medidas: (caçamba fechada): 935mm x 300m x 280mm / (caçamba aberta): 940mm x 228mm x 117mm.</t>
  </si>
  <si>
    <t xml:space="preserve">Pá de lixo de mão plástica </t>
  </si>
  <si>
    <t>Saboneteira dispenser para Alcool Gel ou sabonete líquido possui reservatório com capacidade para no mínimo 500ml. Fabricado em termoplástico de lata resistente. Facil instalação com parafusos e buchas.</t>
  </si>
  <si>
    <t>Tesoura de poda com cabo plástico, dimensões: A 75mm x B 180mm</t>
  </si>
  <si>
    <t>Vassoura de nylon 26cm com cabo</t>
  </si>
  <si>
    <t>Corda trançada nylon diâmetro da corda: 12,0mm, comprimento total da corda: 110,0 m. Material da corda Polipropileno - PP, tipo de filamento da corda: Multifilamento, tipo de acordoamento: trançado, peso aproximado por rolo/carretel: 7,0 kg, carga de ruptura 1183,5 kgf</t>
  </si>
  <si>
    <t>Mangueira microperfurada, em polietileno, proteção UVA, micro jatos alcançam um raio de 2,5 m até 1,8 m altura. Características técnicas: pressão de serviço: 0,2 a 0,8 kgf/cm², distância entre os emissores: 0,15 a 1,05 m Diâmetro dos emissores: 0,3mm diâmetro da mangueira: 28mm, espessura da parede: 0,20mm/200mic, disponível na metragem de 100m</t>
  </si>
  <si>
    <t>Vassoura ancinho plástica com cabo (ciscador plástico)</t>
  </si>
  <si>
    <t>Ancinho 3 dentes, cabo de madeira, prórpio para atividades de arar o solo, afofar a terra e remover detritos.</t>
  </si>
  <si>
    <t>Facão 20 polegadas com cabo</t>
  </si>
  <si>
    <t>Placa identificação, pvc, 65 cm, 30 cm, dobrável, frente e verso, "cuidado, piso molhado", letras pretas, amarelas.</t>
  </si>
  <si>
    <t>ITEM</t>
  </si>
  <si>
    <t>Álcool em gel antisséptico para assepsia e limpeza das mãos</t>
  </si>
  <si>
    <t>Cera líquida incolor, galão de 5 litros</t>
  </si>
  <si>
    <t>Desinfetante líquido concentrado de 5L (aromas variados).</t>
  </si>
  <si>
    <t>Detergente líquido, galão de 5 litros</t>
  </si>
  <si>
    <t>Flanela para limpeza 38 x 58cm grande</t>
  </si>
  <si>
    <t>Hipoclorito de sódio, 12% bombona 20 litros</t>
  </si>
  <si>
    <t>Esponja multiuso dupla face</t>
  </si>
  <si>
    <t>Papel toalha branco de 1ª qualidade, com alto poder de absorção, interfolhado, 23x21, com duas dobras, fardo com 1000 folhas (separados em pacotes de 250 folhas)</t>
  </si>
  <si>
    <t>Sabão em pó granulado</t>
  </si>
  <si>
    <t>Saco para lixo com capacidade de 30 litros preto. Pacote com 100 unidades.</t>
  </si>
  <si>
    <t>Saco para lixo com capacidade de 50 litros preto. Pacote com 100 unidades.</t>
  </si>
  <si>
    <t>Saco para lixo com capacidade de 100 litros preto. Pacote com 100 unidades.</t>
  </si>
  <si>
    <t xml:space="preserve">Combustíbel (gasolina) para roçadeira manual a combustão </t>
  </si>
  <si>
    <t xml:space="preserve">Óleo para motor 2T 500 ml p/ roçadeira </t>
  </si>
  <si>
    <t>Selador para cera, galão de 5 L</t>
  </si>
  <si>
    <t>Luvas de plástico latex para limpeza, tamanho G, pct contendo um par</t>
  </si>
  <si>
    <t xml:space="preserve">Calça de brim grosso (100% algodão). </t>
  </si>
  <si>
    <t>Camisa em malha PV (83% e 37%).</t>
  </si>
  <si>
    <t>Botas branca em PVC cano médio.</t>
  </si>
  <si>
    <t>Botina de couro legítimo costurado no solado de borracha com cadarço resistente, macia e confortável para trabalhos pesado na cor preta.</t>
  </si>
  <si>
    <t>Par de meias tipo esportivas cano curto/soquete, confeccionadas com um mínimo de sessenta por cento em fios de algodão cor escura (preto ou azul marinho, etc).</t>
  </si>
  <si>
    <t>PREGÃO ELETRÔNICO IFRR/CBVZO Nº 11/2018</t>
  </si>
  <si>
    <t>Ano do Acordo, Convenção ou Dissídio Coletivo (RR000016/2017)</t>
  </si>
  <si>
    <r>
      <t>13 (Décimo-terceiro) salário</t>
    </r>
    <r>
      <rPr>
        <sz val="10"/>
        <color indexed="10"/>
        <rFont val="Times New Roman"/>
        <family val="1"/>
      </rPr>
      <t xml:space="preserve">   </t>
    </r>
    <r>
      <rPr>
        <sz val="10"/>
        <color rgb="FFFF0000"/>
        <rFont val="Times New Roman"/>
        <family val="1"/>
      </rPr>
      <t xml:space="preserve">Cálculo do valor = Rem/12  CONTA VINCULADA </t>
    </r>
    <r>
      <rPr>
        <sz val="10"/>
        <color indexed="10"/>
        <rFont val="Times New Roman"/>
        <family val="1"/>
      </rPr>
      <t xml:space="preserve">   </t>
    </r>
  </si>
  <si>
    <t>Nota 1:  A planilha deverá ser calculada considerando o valor mensal do empregado</t>
  </si>
  <si>
    <r>
      <t xml:space="preserve">Nota 1: Os percentuais dos encargos previdenciários, do FGTS e demais contribuições são aqueles estabelecidos pela legislação vigente;
Nota 2: O SAT a depender do grau de risco do serviço irá variar entre 1%, para risco leve, de 2% para risco médio, e de 3% para risco grave;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</rPr>
      <t>Nota 3: Esses percentuais incidem sobre o Módulo 1, o Submódulo 2.1</t>
    </r>
    <r>
      <rPr>
        <sz val="10"/>
        <rFont val="Times New Roman"/>
        <family val="1"/>
      </rPr>
      <t xml:space="preserve">. </t>
    </r>
    <r>
      <rPr>
        <sz val="10"/>
        <color rgb="FFFF0000"/>
        <rFont val="Times New Roman"/>
        <family val="1"/>
      </rPr>
      <t>(incerido em 24/09/2018, IN 07/2018)</t>
    </r>
    <r>
      <rPr>
        <sz val="10"/>
        <rFont val="Times New Roman"/>
        <family val="1"/>
      </rPr>
      <t xml:space="preserve">
</t>
    </r>
  </si>
  <si>
    <r>
      <t xml:space="preserve">Multa do FGTS e Contribuição Social sobre o Aviso Prévio Indenizado </t>
    </r>
    <r>
      <rPr>
        <sz val="10"/>
        <color rgb="FFFF0000"/>
        <rFont val="Times New Roman"/>
        <family val="1"/>
      </rPr>
      <t>(Cálculo do valor = [50%x8%x(Rem+13º+Férias+1/3xFérias)]x5% de rotatividade     considerando que a multa do FGTS e Contribuição apenas inside 1 vez sobre a totalidade dos meses do contrato, sugiro zerar esta rubrica a aportar o custo na totalidade na alínea F)</t>
    </r>
  </si>
  <si>
    <r>
      <t xml:space="preserve">Aviso Prévio Trabalhado </t>
    </r>
    <r>
      <rPr>
        <sz val="10"/>
        <color rgb="FFFF0000"/>
        <rFont val="Times New Roman"/>
        <family val="1"/>
      </rPr>
      <t xml:space="preserve"> (negociar extinção/redução na 1ª prorrogação)  Cálculo do valor= [(Rem/30)x7]/12 meses do contratox100% dos empregados - ao final do contrato  </t>
    </r>
  </si>
  <si>
    <r>
      <t xml:space="preserve">Multa do FGTS e Contribuição Social sobre o Aviso Prévio Trabalhado. </t>
    </r>
    <r>
      <rPr>
        <sz val="10"/>
        <color rgb="FFFF0000"/>
        <rFont val="Times New Roman"/>
        <family val="1"/>
      </rPr>
      <t>Cálculo do valor = [50%(40%fgts e 10% contribuição)x8%x(Rem+13º+Férias+1/3xFérias)]x100% dos empregados</t>
    </r>
  </si>
  <si>
    <t>SERVENTE -PISOS FRIOS</t>
  </si>
  <si>
    <t xml:space="preserve">ENCARREGADO </t>
  </si>
  <si>
    <t>SERVENTE LABORATÓRIO</t>
  </si>
  <si>
    <t>ENCARREGADO</t>
  </si>
  <si>
    <t>SERVENTE ALMOXARIFADO/ GALPÃO</t>
  </si>
  <si>
    <t>SERVENTE  ÁREA C/ ESPAÇO LIVRE</t>
  </si>
  <si>
    <t>SERVENTE   BANHEIROS</t>
  </si>
  <si>
    <t>DEPRECIAÇÃO (Anexo III da IN RFB nº 1.700/2017)10 ANOS/32(quntidade de postos)</t>
  </si>
  <si>
    <t>Nota 1: O Módulo 1 refere-se ao valor mensal devido ao empregado pela prestação do serviço no período de 12 meses.</t>
  </si>
  <si>
    <r>
      <rPr>
        <sz val="10"/>
        <color rgb="FFFF0000"/>
        <rFont val="Times New Roman"/>
        <family val="1"/>
      </rPr>
      <t xml:space="preserve">Nota 1:  Como a planilha de custos e formação de preços é calculada mensalmente, provisiona-se proporcionalmente 1/12 (um doze avos) dos valores referentes à gratificação natalina, férias e adicional de férias;
Nota 2:  O adicional de férias contido no Submódulo 2.1 corresponde a 1/3 (um terço) da remuneração que por sua vez é dividido por 12 (doze) conforme Nota 1 acima;                                                                   </t>
    </r>
    <r>
      <rPr>
        <sz val="10"/>
        <rFont val="Times New Roman"/>
        <family val="1"/>
      </rPr>
      <t xml:space="preserve">                                                                                                                                                           </t>
    </r>
    <r>
      <rPr>
        <b/>
        <u/>
        <sz val="10"/>
        <color rgb="FFFF0000"/>
        <rFont val="Times New Roman"/>
        <family val="1"/>
      </rPr>
      <t>Nota 3 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(incerido em 24/09/2018, IN 07/2018)</t>
    </r>
  </si>
  <si>
    <t>Submódulo 2.2 - Encargos Previdenciários (GPS), Fundo de Garantia por Tempo de Serviço (FGTS) e outras contribuições  (BASE DE CALCULO MODULO I + SUBMÓDULO 2.1)</t>
  </si>
  <si>
    <r>
      <t xml:space="preserve">Nota 1: Os percentuais dos encargos previdenciários, do FGTS e demais contribuições são aqueles estabelecidos pela legislação vigente;
Nota 2: O SAT a depender do grau de risco do serviço irá variar entre 1%, para risco leve, de 2% para risco médio, e de 3% para risco grave;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</rPr>
      <t>Nota 3: Esses percentuais incidem sobre o Módulo 1, o Submódulo 2.1</t>
    </r>
    <r>
      <rPr>
        <sz val="10"/>
        <rFont val="Times New Roman"/>
        <family val="1"/>
      </rPr>
      <t xml:space="preserve">. </t>
    </r>
    <r>
      <rPr>
        <sz val="10"/>
        <color rgb="FFFF0000"/>
        <rFont val="Times New Roman"/>
        <family val="1"/>
      </rPr>
      <t>(incerido em 24/09/2018, IN 07/2018)</t>
    </r>
  </si>
  <si>
    <t>Nota 1: O valor informado deverá ser o custo real do benefício (descontado o valor eventualmente pago pelo empregado).                            Nota 2: Observar a previsão dos benefícios contidos em Acordos, Convenções e Dissídios Coletivos de Trabalho e atentar-se ao disposto no art. 6º desta Instrução Normativa.</t>
  </si>
  <si>
    <r>
      <t xml:space="preserve">Multa do FGTS e Contribuição Social sobre o Aviso Prévio Trabalhado. </t>
    </r>
    <r>
      <rPr>
        <sz val="10"/>
        <color rgb="FFFF0000"/>
        <rFont val="Times New Roman"/>
        <family val="1"/>
      </rPr>
      <t>Cálculo do valor = [50%(40%fgts e 10% contribuição)x8%x(Rem+13º+Férias+1/3xFérias)]x100% dos empregados.</t>
    </r>
  </si>
  <si>
    <r>
      <t xml:space="preserve">Aviso Prévio Trabalhado </t>
    </r>
    <r>
      <rPr>
        <sz val="10"/>
        <color rgb="FFFF0000"/>
        <rFont val="Times New Roman"/>
        <family val="1"/>
      </rPr>
      <t xml:space="preserve"> (negociar extinção/redução na 1ª prorrogação)  Cálculo do valor= [(Rem/30)x7]/12 meses do contratox100% dos empregados - ao final do contrato.</t>
    </r>
  </si>
  <si>
    <r>
      <t xml:space="preserve">Aviso Prévio Indenizado </t>
    </r>
    <r>
      <rPr>
        <sz val="10"/>
        <color rgb="FFFF0000"/>
        <rFont val="Times New Roman"/>
        <family val="1"/>
      </rPr>
      <t>Cálculo do valor = 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período.</t>
    </r>
  </si>
  <si>
    <t xml:space="preserve"> (BASE DE CALCULO MODULO I + SUBMÓDULO 2.1)</t>
  </si>
  <si>
    <t xml:space="preserve">  (BASE DE CALCULO MODULO I + SUBMÓDULO 2.1)</t>
  </si>
  <si>
    <r>
      <t xml:space="preserve">Substituto na cobertura de Ausências Legais    </t>
    </r>
    <r>
      <rPr>
        <sz val="10"/>
        <color rgb="FFFF0000"/>
        <rFont val="Times New Roman"/>
        <family val="1"/>
      </rPr>
      <t xml:space="preserve"> Cálculo do valor = [(BC/30)x3dias]/12 </t>
    </r>
  </si>
  <si>
    <t>BC= Base de cálculo (Módulo 1 + Módulo 2 + Módulo 3)</t>
  </si>
  <si>
    <r>
      <t xml:space="preserve">Substituto na cobertura de Licença Paternidade </t>
    </r>
    <r>
      <rPr>
        <sz val="10"/>
        <color rgb="FFFF0000"/>
        <rFont val="Times New Roman"/>
        <family val="1"/>
      </rPr>
      <t>Cálculo do valor = {[(BC/30)x5dias]/12}x2%</t>
    </r>
  </si>
  <si>
    <r>
      <t>Substituto na cobertura de Ausência por Acidente de Trabalho</t>
    </r>
    <r>
      <rPr>
        <sz val="10"/>
        <color indexed="10"/>
        <rFont val="Times New Roman"/>
        <family val="1"/>
      </rPr>
      <t xml:space="preserve">     </t>
    </r>
    <r>
      <rPr>
        <sz val="10"/>
        <color rgb="FFFF0000"/>
        <rFont val="Times New Roman"/>
        <family val="1"/>
      </rPr>
      <t xml:space="preserve"> Cálculo do valor = {[(BC/30)x15dias]/12}x1% </t>
    </r>
  </si>
  <si>
    <r>
      <t xml:space="preserve">Substituto na cobertura de Afastamento Maternidade  </t>
    </r>
    <r>
      <rPr>
        <sz val="10"/>
        <color rgb="FFFF0000"/>
        <rFont val="Times New Roman"/>
        <family val="1"/>
      </rPr>
      <t>Cálculo do valor = {[(BC)/12]x(4/12)}x2%</t>
    </r>
  </si>
  <si>
    <t>Substituto na cobertura de Outras ausências (especificar)</t>
  </si>
  <si>
    <t>Submódulo 4.1 - Substituto nas Ausências Legais</t>
  </si>
  <si>
    <t>Substituto na cobertura de Intervalo para repouso ou alimentaçãoIntervalo para Repouso ou Alimentação</t>
  </si>
  <si>
    <t>Submódulo 4.2 - Substituto  Intrajornada</t>
  </si>
  <si>
    <r>
      <t xml:space="preserve">Nota 1: 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2018).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0000"/>
        <rFont val="Times New Roman"/>
        <family val="1"/>
      </rPr>
      <t>Nota 2: Haverá a incidência do Submódulo 2.2 sobre esse módulo. (Revogado pela Instrução Normativa nº 7, de 2018)</t>
    </r>
  </si>
  <si>
    <t xml:space="preserve"> Substituto nas Ausências LegaisAusências Legais</t>
  </si>
  <si>
    <t>Substituto  Intrajornada</t>
  </si>
  <si>
    <t>Custo direto: Somatório dos Módulos 1+2+3+4+5</t>
  </si>
  <si>
    <t>Tributos</t>
  </si>
  <si>
    <t>C.1 Tributos Federais</t>
  </si>
  <si>
    <t xml:space="preserve">       PIS</t>
  </si>
  <si>
    <t xml:space="preserve">        COFINS</t>
  </si>
  <si>
    <t xml:space="preserve">        Outros (especificar)</t>
  </si>
  <si>
    <t>C.2 Tributos Estaduais</t>
  </si>
  <si>
    <t>(Especificar)</t>
  </si>
  <si>
    <t>C.3 Tributos Municipais</t>
  </si>
  <si>
    <t xml:space="preserve">        ISS</t>
  </si>
  <si>
    <t>VALOR TOTAL  POR EMPREGADO</t>
  </si>
  <si>
    <t>VALOR MENSAL DO SERVIÇO</t>
  </si>
  <si>
    <r>
      <t xml:space="preserve">Férias e Adicional de Férias </t>
    </r>
    <r>
      <rPr>
        <sz val="10"/>
        <color rgb="FFFF0000"/>
        <rFont val="Times New Roman"/>
        <family val="1"/>
      </rPr>
      <t xml:space="preserve"> [((1/11)+((1/3)/11)] (CONTA VINCULADA)</t>
    </r>
  </si>
  <si>
    <t xml:space="preserve">Substituto na cobertura de Férias ((FÉRIAS/12+13º/12+((1/3TERÇO DE FÉRIAS)/12 ))/12. CONTA VINCULADA  </t>
  </si>
  <si>
    <t>ANEXO VII-D (IN 07/2018 MPOG) - DEMONSTRATIVO FINAL LUCRO REAL</t>
  </si>
  <si>
    <t>UNIDADE : CAMPUS BOA VISTA</t>
  </si>
  <si>
    <t>Nº DO PROCESSO: 23231.000141.2018-41</t>
  </si>
  <si>
    <t>Boa Vista-RR, 06 de novembro de 2018</t>
  </si>
  <si>
    <t>VALOR REFERENCIAL</t>
  </si>
  <si>
    <t>ANEXO VII IN 07/2018 MPDG</t>
  </si>
  <si>
    <t>32 POSTOS</t>
  </si>
  <si>
    <r>
      <t xml:space="preserve">Multa do FGTS e Contribuição Social sobre o Aviso Prévio Indenizado </t>
    </r>
    <r>
      <rPr>
        <sz val="10"/>
        <color rgb="FFFF0000"/>
        <rFont val="Times New Roman"/>
        <family val="1"/>
      </rPr>
      <t xml:space="preserve">(Cálculo do valor = [50%x8%x(Rem+13º+Férias+1/3xFérias)]x5% de rotatividade     </t>
    </r>
  </si>
  <si>
    <t>Nº DO PROCESSO:  23231.000141.2018-41</t>
  </si>
  <si>
    <t>1 POSTO</t>
  </si>
  <si>
    <t>SERVIÇO A SER CONTRATADO</t>
  </si>
  <si>
    <t>Hum milhão, Quatrocentos e setenta mil, cento e sessenta seis reais e nove centavos</t>
  </si>
  <si>
    <t>III - INSUMOS DIVERSOS CAMPUS BOA VISTA</t>
  </si>
  <si>
    <t>PREGÃO ELETRÔNICO IFRR 02/2019</t>
  </si>
  <si>
    <t>CAMPUS BOA VISTA</t>
  </si>
  <si>
    <t>LICITAÇÃO Nº 02/2019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</si>
</sst>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0"/>
    <numFmt numFmtId="165" formatCode="_(* #,##0.00_);_(* \(#,##0.00\);_(* &quot;-&quot;??_);_(@_)"/>
    <numFmt numFmtId="166" formatCode="_(* #,##0.0000_);_(* \(#,##0.0000\);_(* &quot;-&quot;??_);_(@_)"/>
    <numFmt numFmtId="167" formatCode="_(* #,##0_);_(* \(#,##0\);_(* &quot;-&quot;??_);_(@_)"/>
    <numFmt numFmtId="168" formatCode="_(* 0.00%_);_(* \(0.00%\);_(* &quot;-&quot;??_);_(@_)"/>
    <numFmt numFmtId="169" formatCode="_(&quot;R$ &quot;* #,##0.00_);_(&quot;R$ &quot;* \(#,##0.00\);_(&quot;R$ &quot;* &quot;-&quot;??_);_(@_)"/>
    <numFmt numFmtId="170" formatCode="&quot;R$ &quot;#,##0.00_);[Red]\(&quot;R$ &quot;#,##0.00\)"/>
    <numFmt numFmtId="171" formatCode="0.000%"/>
    <numFmt numFmtId="172" formatCode="&quot;R$&quot;\ #,##0"/>
    <numFmt numFmtId="173" formatCode="#,##0.00;[Red]#,##0.00"/>
    <numFmt numFmtId="174" formatCode="_-* #,##0.000000_-;\-* #,##0.000000_-;_-* &quot;-&quot;??_-;_-@_-"/>
  </numFmts>
  <fonts count="46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u/>
      <sz val="8.8000000000000007"/>
      <color theme="10"/>
      <name val="Calibri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color indexed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8"/>
      <color theme="1"/>
      <name val="Arial"/>
      <family val="2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name val="Arial"/>
      <family val="2"/>
    </font>
    <font>
      <sz val="9"/>
      <color rgb="FF000000"/>
      <name val="Times New Roman"/>
      <family val="1"/>
    </font>
    <font>
      <b/>
      <u/>
      <sz val="10"/>
      <color rgb="FFFF0000"/>
      <name val="Times New Roman"/>
      <family val="1"/>
    </font>
    <font>
      <sz val="12"/>
      <name val="Sans-serif"/>
    </font>
    <font>
      <b/>
      <sz val="12"/>
      <name val="Sans-serif"/>
    </font>
    <font>
      <b/>
      <sz val="10"/>
      <color rgb="FF000000"/>
      <name val="Arial1"/>
    </font>
    <font>
      <sz val="10"/>
      <color rgb="FF000000"/>
      <name val="Arial1"/>
    </font>
    <font>
      <sz val="9"/>
      <color rgb="FF000000"/>
      <name val="Arial1"/>
    </font>
    <font>
      <b/>
      <u/>
      <sz val="10"/>
      <name val="Times New Roman"/>
      <family val="1"/>
    </font>
    <font>
      <b/>
      <sz val="6"/>
      <color rgb="FFFF0000"/>
      <name val="Times New Roman"/>
      <family val="1"/>
    </font>
    <font>
      <sz val="6"/>
      <color rgb="FFFF0000"/>
      <name val="Arial1"/>
    </font>
    <font>
      <b/>
      <u val="singleAccounting"/>
      <sz val="10"/>
      <name val="Times New Roman"/>
      <family val="1"/>
    </font>
    <font>
      <b/>
      <u val="singleAccounting"/>
      <sz val="9"/>
      <name val="Times New Roman"/>
      <family val="1"/>
    </font>
    <font>
      <sz val="9"/>
      <color theme="0"/>
      <name val="Times New Roman"/>
      <family val="1"/>
    </font>
    <font>
      <b/>
      <sz val="9"/>
      <color theme="0"/>
      <name val="Times New Roman"/>
      <family val="1"/>
    </font>
    <font>
      <sz val="10"/>
      <color theme="0"/>
      <name val="Arial"/>
      <family val="2"/>
    </font>
    <font>
      <b/>
      <u/>
      <sz val="9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DDDDDD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FF"/>
        <bgColor indexed="31"/>
      </patternFill>
    </fill>
  </fills>
  <borders count="1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theme="1" tint="0.24994659260841701"/>
      </top>
      <bottom style="hair">
        <color theme="1" tint="0.24994659260841701"/>
      </bottom>
      <diagonal/>
    </border>
    <border>
      <left style="hair">
        <color indexed="64"/>
      </left>
      <right style="hair">
        <color indexed="64"/>
      </right>
      <top style="hair">
        <color theme="1" tint="0.24994659260841701"/>
      </top>
      <bottom style="hair">
        <color theme="1" tint="0.24994659260841701"/>
      </bottom>
      <diagonal/>
    </border>
    <border>
      <left style="hair">
        <color indexed="64"/>
      </left>
      <right style="thin">
        <color indexed="64"/>
      </right>
      <top style="hair">
        <color theme="1" tint="0.24994659260841701"/>
      </top>
      <bottom style="hair">
        <color theme="1" tint="0.24994659260841701"/>
      </bottom>
      <diagonal/>
    </border>
    <border>
      <left style="hair">
        <color indexed="64"/>
      </left>
      <right style="hair">
        <color indexed="64"/>
      </right>
      <top style="hair">
        <color theme="1" tint="0.2499465926084170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theme="1" tint="0.24994659260841701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theme="1" tint="0.24994659260841701"/>
      </bottom>
      <diagonal/>
    </border>
    <border>
      <left style="hair">
        <color indexed="64"/>
      </left>
      <right style="thin">
        <color indexed="64"/>
      </right>
      <top/>
      <bottom style="hair">
        <color theme="1" tint="0.2499465926084170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24">
    <xf numFmtId="0" fontId="0" fillId="0" borderId="0"/>
    <xf numFmtId="44" fontId="2" fillId="0" borderId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9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3" fillId="0" borderId="0" applyFill="0" applyBorder="0" applyAlignment="0" applyProtection="0"/>
    <xf numFmtId="169" fontId="3" fillId="0" borderId="0" applyFill="0" applyBorder="0" applyAlignment="0" applyProtection="0"/>
    <xf numFmtId="9" fontId="18" fillId="0" borderId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53">
    <xf numFmtId="0" fontId="0" fillId="0" borderId="0" xfId="0"/>
    <xf numFmtId="0" fontId="5" fillId="0" borderId="0" xfId="2" applyFont="1" applyAlignment="1">
      <alignment horizontal="center"/>
    </xf>
    <xf numFmtId="0" fontId="5" fillId="0" borderId="0" xfId="2" applyFont="1"/>
    <xf numFmtId="0" fontId="6" fillId="0" borderId="0" xfId="2" applyFont="1" applyFill="1" applyAlignment="1">
      <alignment wrapText="1"/>
    </xf>
    <xf numFmtId="0" fontId="6" fillId="0" borderId="4" xfId="2" applyFont="1" applyFill="1" applyBorder="1" applyAlignment="1">
      <alignment wrapText="1"/>
    </xf>
    <xf numFmtId="0" fontId="6" fillId="0" borderId="5" xfId="2" applyFont="1" applyFill="1" applyBorder="1" applyAlignment="1">
      <alignment horizontal="center" wrapText="1"/>
    </xf>
    <xf numFmtId="0" fontId="6" fillId="0" borderId="7" xfId="2" applyFont="1" applyFill="1" applyBorder="1" applyAlignment="1">
      <alignment horizontal="center" wrapText="1"/>
    </xf>
    <xf numFmtId="0" fontId="6" fillId="0" borderId="6" xfId="2" applyFont="1" applyFill="1" applyBorder="1" applyAlignment="1">
      <alignment horizontal="center" wrapText="1"/>
    </xf>
    <xf numFmtId="4" fontId="5" fillId="0" borderId="7" xfId="2" applyNumberFormat="1" applyFont="1" applyBorder="1" applyAlignment="1">
      <alignment horizontal="center"/>
    </xf>
    <xf numFmtId="164" fontId="5" fillId="0" borderId="7" xfId="2" applyNumberFormat="1" applyFont="1" applyBorder="1" applyAlignment="1">
      <alignment horizontal="center"/>
    </xf>
    <xf numFmtId="0" fontId="5" fillId="0" borderId="10" xfId="2" applyFont="1" applyBorder="1"/>
    <xf numFmtId="4" fontId="5" fillId="0" borderId="0" xfId="2" applyNumberFormat="1" applyFont="1" applyBorder="1" applyAlignment="1">
      <alignment horizontal="center"/>
    </xf>
    <xf numFmtId="164" fontId="5" fillId="0" borderId="0" xfId="2" applyNumberFormat="1" applyFont="1" applyBorder="1" applyAlignment="1">
      <alignment horizontal="center"/>
    </xf>
    <xf numFmtId="164" fontId="5" fillId="0" borderId="3" xfId="2" applyNumberFormat="1" applyFont="1" applyBorder="1" applyAlignment="1">
      <alignment horizontal="center"/>
    </xf>
    <xf numFmtId="0" fontId="6" fillId="0" borderId="0" xfId="2" applyFont="1"/>
    <xf numFmtId="0" fontId="6" fillId="0" borderId="4" xfId="2" applyFont="1" applyBorder="1"/>
    <xf numFmtId="4" fontId="6" fillId="0" borderId="5" xfId="2" applyNumberFormat="1" applyFont="1" applyBorder="1" applyAlignment="1">
      <alignment horizontal="center"/>
    </xf>
    <xf numFmtId="164" fontId="6" fillId="0" borderId="3" xfId="2" applyNumberFormat="1" applyFont="1" applyBorder="1" applyAlignment="1">
      <alignment horizontal="center"/>
    </xf>
    <xf numFmtId="0" fontId="6" fillId="0" borderId="0" xfId="2" applyFont="1" applyAlignment="1">
      <alignment horizontal="center"/>
    </xf>
    <xf numFmtId="0" fontId="5" fillId="0" borderId="0" xfId="2" applyFont="1" applyFill="1"/>
    <xf numFmtId="0" fontId="5" fillId="0" borderId="0" xfId="2" applyFont="1" applyFill="1" applyAlignment="1">
      <alignment horizontal="center"/>
    </xf>
    <xf numFmtId="0" fontId="5" fillId="0" borderId="12" xfId="2" applyFont="1" applyBorder="1"/>
    <xf numFmtId="164" fontId="6" fillId="0" borderId="5" xfId="2" applyNumberFormat="1" applyFont="1" applyBorder="1" applyAlignment="1">
      <alignment horizontal="center"/>
    </xf>
    <xf numFmtId="3" fontId="5" fillId="0" borderId="7" xfId="2" applyNumberFormat="1" applyFont="1" applyBorder="1" applyAlignment="1">
      <alignment horizontal="center"/>
    </xf>
    <xf numFmtId="0" fontId="5" fillId="0" borderId="7" xfId="2" applyNumberFormat="1" applyFont="1" applyBorder="1" applyAlignment="1">
      <alignment horizontal="center"/>
    </xf>
    <xf numFmtId="0" fontId="5" fillId="0" borderId="0" xfId="2" applyFont="1" applyBorder="1"/>
    <xf numFmtId="3" fontId="5" fillId="0" borderId="3" xfId="2" applyNumberFormat="1" applyFont="1" applyBorder="1" applyAlignment="1">
      <alignment horizontal="center"/>
    </xf>
    <xf numFmtId="0" fontId="5" fillId="0" borderId="0" xfId="2" applyFont="1" applyBorder="1" applyAlignment="1" applyProtection="1">
      <alignment vertical="top" wrapText="1"/>
    </xf>
    <xf numFmtId="4" fontId="5" fillId="0" borderId="5" xfId="2" applyNumberFormat="1" applyFont="1" applyBorder="1" applyAlignment="1">
      <alignment horizontal="center"/>
    </xf>
    <xf numFmtId="0" fontId="8" fillId="0" borderId="0" xfId="17" applyFont="1" applyBorder="1" applyAlignment="1" applyProtection="1">
      <alignment vertical="center"/>
    </xf>
    <xf numFmtId="0" fontId="5" fillId="0" borderId="0" xfId="17" applyFont="1" applyBorder="1" applyAlignment="1" applyProtection="1">
      <alignment vertical="center"/>
    </xf>
    <xf numFmtId="165" fontId="5" fillId="0" borderId="0" xfId="18" applyFont="1" applyBorder="1" applyAlignment="1" applyProtection="1">
      <alignment vertical="center"/>
    </xf>
    <xf numFmtId="0" fontId="8" fillId="0" borderId="3" xfId="17" applyFont="1" applyBorder="1" applyAlignment="1" applyProtection="1">
      <alignment vertical="center"/>
    </xf>
    <xf numFmtId="0" fontId="5" fillId="0" borderId="3" xfId="17" applyFont="1" applyBorder="1" applyAlignment="1" applyProtection="1">
      <alignment vertical="center"/>
    </xf>
    <xf numFmtId="165" fontId="5" fillId="0" borderId="3" xfId="18" applyFont="1" applyBorder="1" applyAlignment="1" applyProtection="1">
      <alignment vertical="center"/>
    </xf>
    <xf numFmtId="0" fontId="5" fillId="0" borderId="0" xfId="17" applyFont="1" applyAlignment="1" applyProtection="1">
      <alignment vertical="center"/>
    </xf>
    <xf numFmtId="0" fontId="5" fillId="0" borderId="0" xfId="17" applyFont="1" applyFill="1" applyBorder="1" applyAlignment="1" applyProtection="1">
      <alignment vertical="center"/>
    </xf>
    <xf numFmtId="0" fontId="5" fillId="0" borderId="0" xfId="17" applyFont="1" applyAlignment="1" applyProtection="1">
      <alignment vertical="top"/>
    </xf>
    <xf numFmtId="0" fontId="5" fillId="0" borderId="0" xfId="17" applyFont="1" applyBorder="1" applyAlignment="1" applyProtection="1">
      <alignment vertical="top"/>
    </xf>
    <xf numFmtId="0" fontId="5" fillId="0" borderId="0" xfId="17" applyFont="1" applyFill="1" applyAlignment="1" applyProtection="1">
      <alignment vertical="center"/>
    </xf>
    <xf numFmtId="0" fontId="6" fillId="0" borderId="4" xfId="17" applyFont="1" applyFill="1" applyBorder="1" applyAlignment="1" applyProtection="1">
      <alignment vertical="center" wrapText="1"/>
    </xf>
    <xf numFmtId="165" fontId="6" fillId="0" borderId="5" xfId="18" applyFont="1" applyFill="1" applyBorder="1" applyAlignment="1" applyProtection="1">
      <alignment vertical="center"/>
    </xf>
    <xf numFmtId="165" fontId="6" fillId="0" borderId="6" xfId="18" applyFont="1" applyFill="1" applyBorder="1" applyAlignment="1" applyProtection="1">
      <alignment vertical="center"/>
    </xf>
    <xf numFmtId="167" fontId="6" fillId="0" borderId="6" xfId="18" applyNumberFormat="1" applyFont="1" applyFill="1" applyBorder="1" applyAlignment="1" applyProtection="1">
      <alignment vertical="center"/>
    </xf>
    <xf numFmtId="0" fontId="8" fillId="0" borderId="0" xfId="17" applyFont="1" applyFill="1" applyBorder="1" applyAlignment="1" applyProtection="1">
      <alignment vertical="center"/>
    </xf>
    <xf numFmtId="0" fontId="8" fillId="0" borderId="0" xfId="17" applyFont="1" applyFill="1" applyBorder="1" applyAlignment="1" applyProtection="1">
      <alignment vertical="center" wrapText="1"/>
    </xf>
    <xf numFmtId="165" fontId="6" fillId="0" borderId="5" xfId="18" applyFont="1" applyFill="1" applyBorder="1" applyAlignment="1" applyProtection="1">
      <alignment horizontal="left" vertical="center"/>
    </xf>
    <xf numFmtId="165" fontId="5" fillId="0" borderId="14" xfId="18" applyFont="1" applyFill="1" applyBorder="1" applyAlignment="1" applyProtection="1">
      <alignment vertical="center"/>
    </xf>
    <xf numFmtId="4" fontId="5" fillId="0" borderId="9" xfId="2" applyNumberFormat="1" applyFont="1" applyBorder="1" applyAlignment="1">
      <alignment horizontal="center"/>
    </xf>
    <xf numFmtId="4" fontId="6" fillId="0" borderId="6" xfId="2" applyNumberFormat="1" applyFont="1" applyBorder="1" applyAlignment="1">
      <alignment horizontal="center"/>
    </xf>
    <xf numFmtId="44" fontId="6" fillId="0" borderId="0" xfId="2" applyNumberFormat="1" applyFont="1"/>
    <xf numFmtId="0" fontId="6" fillId="0" borderId="14" xfId="2" applyFont="1" applyFill="1" applyBorder="1" applyAlignment="1">
      <alignment horizontal="center" wrapText="1"/>
    </xf>
    <xf numFmtId="0" fontId="5" fillId="0" borderId="14" xfId="2" applyFont="1" applyBorder="1" applyAlignment="1">
      <alignment horizontal="center"/>
    </xf>
    <xf numFmtId="44" fontId="6" fillId="0" borderId="14" xfId="2" applyNumberFormat="1" applyFont="1" applyBorder="1" applyAlignment="1">
      <alignment horizontal="center"/>
    </xf>
    <xf numFmtId="44" fontId="5" fillId="0" borderId="14" xfId="2" applyNumberFormat="1" applyFont="1" applyBorder="1" applyAlignment="1">
      <alignment horizontal="center"/>
    </xf>
    <xf numFmtId="0" fontId="5" fillId="0" borderId="14" xfId="2" applyFont="1" applyBorder="1" applyAlignment="1" applyProtection="1">
      <alignment vertical="top"/>
    </xf>
    <xf numFmtId="166" fontId="5" fillId="0" borderId="14" xfId="3" applyNumberFormat="1" applyFont="1" applyFill="1" applyBorder="1" applyAlignment="1" applyProtection="1">
      <alignment vertical="top"/>
    </xf>
    <xf numFmtId="165" fontId="5" fillId="0" borderId="14" xfId="3" applyFont="1" applyFill="1" applyBorder="1" applyAlignment="1" applyProtection="1">
      <alignment vertical="top"/>
    </xf>
    <xf numFmtId="165" fontId="6" fillId="0" borderId="14" xfId="3" applyFont="1" applyFill="1" applyBorder="1" applyAlignment="1" applyProtection="1">
      <alignment vertical="center"/>
    </xf>
    <xf numFmtId="166" fontId="5" fillId="0" borderId="14" xfId="2" applyNumberFormat="1" applyFont="1" applyBorder="1" applyAlignment="1">
      <alignment horizontal="center"/>
    </xf>
    <xf numFmtId="10" fontId="6" fillId="0" borderId="14" xfId="2" applyNumberFormat="1" applyFont="1" applyFill="1" applyBorder="1" applyAlignment="1" applyProtection="1">
      <alignment horizontal="right" vertical="center" wrapText="1"/>
    </xf>
    <xf numFmtId="10" fontId="6" fillId="0" borderId="4" xfId="2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14" fontId="9" fillId="0" borderId="14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 vertical="distributed"/>
    </xf>
    <xf numFmtId="170" fontId="9" fillId="0" borderId="14" xfId="0" applyNumberFormat="1" applyFont="1" applyBorder="1" applyAlignment="1">
      <alignment horizontal="center"/>
    </xf>
    <xf numFmtId="44" fontId="9" fillId="0" borderId="14" xfId="1" applyFont="1" applyBorder="1"/>
    <xf numFmtId="10" fontId="9" fillId="0" borderId="14" xfId="19" applyNumberFormat="1" applyFont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10" fontId="9" fillId="0" borderId="14" xfId="19" applyNumberFormat="1" applyFont="1" applyFill="1" applyBorder="1" applyAlignment="1">
      <alignment horizontal="center"/>
    </xf>
    <xf numFmtId="44" fontId="9" fillId="0" borderId="14" xfId="1" applyFont="1" applyBorder="1" applyAlignment="1"/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/>
    <xf numFmtId="0" fontId="9" fillId="0" borderId="0" xfId="0" applyFont="1" applyBorder="1"/>
    <xf numFmtId="10" fontId="9" fillId="0" borderId="14" xfId="0" applyNumberFormat="1" applyFont="1" applyBorder="1" applyAlignment="1">
      <alignment horizontal="center"/>
    </xf>
    <xf numFmtId="2" fontId="9" fillId="0" borderId="14" xfId="0" applyNumberFormat="1" applyFont="1" applyBorder="1"/>
    <xf numFmtId="10" fontId="9" fillId="5" borderId="14" xfId="0" applyNumberFormat="1" applyFont="1" applyFill="1" applyBorder="1" applyAlignment="1">
      <alignment horizontal="center"/>
    </xf>
    <xf numFmtId="10" fontId="10" fillId="0" borderId="14" xfId="0" applyNumberFormat="1" applyFont="1" applyBorder="1" applyAlignment="1">
      <alignment horizontal="center"/>
    </xf>
    <xf numFmtId="2" fontId="10" fillId="0" borderId="14" xfId="0" applyNumberFormat="1" applyFont="1" applyBorder="1"/>
    <xf numFmtId="0" fontId="13" fillId="0" borderId="0" xfId="0" applyFont="1"/>
    <xf numFmtId="0" fontId="13" fillId="0" borderId="0" xfId="0" applyFont="1" applyAlignment="1">
      <alignment horizontal="center"/>
    </xf>
    <xf numFmtId="169" fontId="13" fillId="0" borderId="0" xfId="20" applyFont="1"/>
    <xf numFmtId="171" fontId="9" fillId="0" borderId="14" xfId="0" applyNumberFormat="1" applyFont="1" applyBorder="1" applyAlignment="1">
      <alignment horizontal="center"/>
    </xf>
    <xf numFmtId="43" fontId="9" fillId="0" borderId="0" xfId="0" applyNumberFormat="1" applyFont="1"/>
    <xf numFmtId="2" fontId="9" fillId="0" borderId="14" xfId="0" applyNumberFormat="1" applyFont="1" applyBorder="1" applyAlignment="1">
      <alignment horizontal="right"/>
    </xf>
    <xf numFmtId="2" fontId="9" fillId="0" borderId="14" xfId="0" applyNumberFormat="1" applyFont="1" applyFill="1" applyBorder="1"/>
    <xf numFmtId="2" fontId="10" fillId="0" borderId="14" xfId="0" applyNumberFormat="1" applyFont="1" applyFill="1" applyBorder="1"/>
    <xf numFmtId="2" fontId="9" fillId="5" borderId="14" xfId="0" applyNumberFormat="1" applyFont="1" applyFill="1" applyBorder="1"/>
    <xf numFmtId="44" fontId="9" fillId="0" borderId="0" xfId="0" applyNumberFormat="1" applyFont="1" applyBorder="1"/>
    <xf numFmtId="10" fontId="10" fillId="5" borderId="14" xfId="0" applyNumberFormat="1" applyFont="1" applyFill="1" applyBorder="1" applyAlignment="1">
      <alignment horizontal="center"/>
    </xf>
    <xf numFmtId="2" fontId="10" fillId="5" borderId="14" xfId="0" applyNumberFormat="1" applyFont="1" applyFill="1" applyBorder="1"/>
    <xf numFmtId="10" fontId="9" fillId="0" borderId="14" xfId="0" applyNumberFormat="1" applyFont="1" applyBorder="1" applyAlignment="1"/>
    <xf numFmtId="10" fontId="9" fillId="0" borderId="14" xfId="19" applyNumberFormat="1" applyFont="1" applyBorder="1" applyAlignment="1"/>
    <xf numFmtId="44" fontId="9" fillId="0" borderId="0" xfId="1" applyFont="1"/>
    <xf numFmtId="2" fontId="9" fillId="0" borderId="0" xfId="0" applyNumberFormat="1" applyFont="1"/>
    <xf numFmtId="2" fontId="10" fillId="0" borderId="0" xfId="0" applyNumberFormat="1" applyFont="1" applyFill="1" applyBorder="1"/>
    <xf numFmtId="169" fontId="10" fillId="0" borderId="0" xfId="20" applyFont="1"/>
    <xf numFmtId="0" fontId="9" fillId="0" borderId="14" xfId="0" applyFont="1" applyFill="1" applyBorder="1" applyAlignment="1">
      <alignment horizontal="center"/>
    </xf>
    <xf numFmtId="0" fontId="10" fillId="0" borderId="21" xfId="0" applyFont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22" xfId="0" applyFont="1" applyBorder="1" applyAlignment="1">
      <alignment horizontal="center"/>
    </xf>
    <xf numFmtId="0" fontId="9" fillId="0" borderId="27" xfId="0" applyFont="1" applyBorder="1" applyAlignment="1"/>
    <xf numFmtId="0" fontId="9" fillId="0" borderId="28" xfId="0" applyFont="1" applyBorder="1" applyAlignment="1"/>
    <xf numFmtId="2" fontId="9" fillId="0" borderId="29" xfId="0" applyNumberFormat="1" applyFont="1" applyBorder="1"/>
    <xf numFmtId="0" fontId="9" fillId="0" borderId="5" xfId="0" applyFont="1" applyBorder="1" applyAlignment="1"/>
    <xf numFmtId="0" fontId="9" fillId="0" borderId="32" xfId="0" applyFont="1" applyBorder="1" applyAlignment="1"/>
    <xf numFmtId="2" fontId="9" fillId="0" borderId="33" xfId="0" applyNumberFormat="1" applyFont="1" applyFill="1" applyBorder="1"/>
    <xf numFmtId="0" fontId="10" fillId="0" borderId="5" xfId="0" applyFont="1" applyBorder="1" applyAlignment="1"/>
    <xf numFmtId="0" fontId="10" fillId="0" borderId="32" xfId="0" applyFont="1" applyBorder="1" applyAlignment="1"/>
    <xf numFmtId="0" fontId="9" fillId="0" borderId="37" xfId="0" applyFont="1" applyBorder="1" applyAlignment="1"/>
    <xf numFmtId="0" fontId="9" fillId="0" borderId="38" xfId="0" applyFont="1" applyBorder="1" applyAlignment="1"/>
    <xf numFmtId="2" fontId="9" fillId="0" borderId="39" xfId="0" applyNumberFormat="1" applyFont="1" applyFill="1" applyBorder="1"/>
    <xf numFmtId="2" fontId="10" fillId="0" borderId="43" xfId="0" applyNumberFormat="1" applyFont="1" applyFill="1" applyBorder="1"/>
    <xf numFmtId="0" fontId="9" fillId="0" borderId="44" xfId="0" applyFont="1" applyBorder="1" applyAlignment="1">
      <alignment horizontal="center"/>
    </xf>
    <xf numFmtId="2" fontId="9" fillId="0" borderId="26" xfId="0" applyNumberFormat="1" applyFont="1" applyBorder="1"/>
    <xf numFmtId="0" fontId="9" fillId="0" borderId="30" xfId="0" applyFont="1" applyFill="1" applyBorder="1" applyAlignment="1">
      <alignment horizontal="center"/>
    </xf>
    <xf numFmtId="2" fontId="9" fillId="0" borderId="31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10" fillId="0" borderId="0" xfId="0" applyFont="1"/>
    <xf numFmtId="44" fontId="5" fillId="0" borderId="14" xfId="1" applyFont="1" applyBorder="1" applyAlignment="1">
      <alignment horizontal="center"/>
    </xf>
    <xf numFmtId="44" fontId="9" fillId="0" borderId="14" xfId="1" applyFont="1" applyBorder="1" applyAlignment="1">
      <alignment horizontal="center"/>
    </xf>
    <xf numFmtId="10" fontId="10" fillId="0" borderId="5" xfId="0" applyNumberFormat="1" applyFont="1" applyBorder="1" applyAlignment="1">
      <alignment horizontal="center"/>
    </xf>
    <xf numFmtId="0" fontId="16" fillId="5" borderId="0" xfId="10" applyFont="1" applyFill="1"/>
    <xf numFmtId="0" fontId="15" fillId="5" borderId="0" xfId="10" applyFont="1" applyFill="1" applyBorder="1" applyAlignment="1">
      <alignment horizontal="center"/>
    </xf>
    <xf numFmtId="0" fontId="17" fillId="5" borderId="30" xfId="10" applyFont="1" applyFill="1" applyBorder="1" applyAlignment="1">
      <alignment horizontal="center"/>
    </xf>
    <xf numFmtId="0" fontId="17" fillId="0" borderId="14" xfId="10" applyFont="1" applyFill="1" applyBorder="1" applyAlignment="1">
      <alignment horizontal="left" vertical="center" wrapText="1"/>
    </xf>
    <xf numFmtId="0" fontId="17" fillId="0" borderId="14" xfId="10" applyFont="1" applyFill="1" applyBorder="1" applyAlignment="1">
      <alignment horizontal="center" vertical="center" wrapText="1"/>
    </xf>
    <xf numFmtId="0" fontId="17" fillId="0" borderId="14" xfId="10" applyFont="1" applyFill="1" applyBorder="1" applyAlignment="1">
      <alignment horizontal="center" vertical="center"/>
    </xf>
    <xf numFmtId="4" fontId="17" fillId="0" borderId="14" xfId="10" applyNumberFormat="1" applyFont="1" applyFill="1" applyBorder="1"/>
    <xf numFmtId="4" fontId="17" fillId="5" borderId="14" xfId="10" applyNumberFormat="1" applyFont="1" applyFill="1" applyBorder="1"/>
    <xf numFmtId="0" fontId="16" fillId="5" borderId="0" xfId="10" applyFont="1" applyFill="1" applyAlignment="1">
      <alignment horizontal="center"/>
    </xf>
    <xf numFmtId="4" fontId="16" fillId="5" borderId="0" xfId="10" applyNumberFormat="1" applyFont="1" applyFill="1"/>
    <xf numFmtId="4" fontId="17" fillId="5" borderId="52" xfId="10" applyNumberFormat="1" applyFont="1" applyFill="1" applyBorder="1"/>
    <xf numFmtId="0" fontId="15" fillId="2" borderId="23" xfId="10" applyFont="1" applyFill="1" applyBorder="1" applyAlignment="1">
      <alignment horizontal="center" wrapText="1"/>
    </xf>
    <xf numFmtId="0" fontId="15" fillId="2" borderId="50" xfId="10" applyFont="1" applyFill="1" applyBorder="1" applyAlignment="1">
      <alignment horizontal="center" wrapText="1"/>
    </xf>
    <xf numFmtId="0" fontId="21" fillId="5" borderId="0" xfId="0" applyFont="1" applyFill="1"/>
    <xf numFmtId="0" fontId="21" fillId="0" borderId="0" xfId="0" applyFont="1" applyAlignment="1">
      <alignment vertical="center"/>
    </xf>
    <xf numFmtId="0" fontId="21" fillId="5" borderId="0" xfId="0" applyFont="1" applyFill="1" applyAlignment="1">
      <alignment horizontal="left"/>
    </xf>
    <xf numFmtId="0" fontId="21" fillId="5" borderId="0" xfId="0" applyFont="1" applyFill="1" applyAlignment="1">
      <alignment vertical="center"/>
    </xf>
    <xf numFmtId="44" fontId="21" fillId="5" borderId="0" xfId="0" applyNumberFormat="1" applyFont="1" applyFill="1"/>
    <xf numFmtId="44" fontId="23" fillId="0" borderId="54" xfId="0" applyNumberFormat="1" applyFont="1" applyBorder="1" applyAlignment="1">
      <alignment vertical="center" wrapText="1"/>
    </xf>
    <xf numFmtId="44" fontId="23" fillId="0" borderId="14" xfId="0" applyNumberFormat="1" applyFont="1" applyBorder="1" applyAlignment="1">
      <alignment vertical="center" wrapText="1"/>
    </xf>
    <xf numFmtId="44" fontId="22" fillId="0" borderId="0" xfId="0" applyNumberFormat="1" applyFont="1" applyBorder="1" applyAlignment="1">
      <alignment vertical="center"/>
    </xf>
    <xf numFmtId="0" fontId="23" fillId="0" borderId="14" xfId="0" applyNumberFormat="1" applyFont="1" applyBorder="1" applyAlignment="1">
      <alignment horizontal="center" vertical="center" wrapText="1"/>
    </xf>
    <xf numFmtId="0" fontId="24" fillId="5" borderId="0" xfId="0" applyFont="1" applyFill="1" applyAlignment="1">
      <alignment horizontal="center"/>
    </xf>
    <xf numFmtId="169" fontId="25" fillId="5" borderId="0" xfId="6" applyFont="1" applyFill="1"/>
    <xf numFmtId="0" fontId="21" fillId="0" borderId="0" xfId="0" applyFont="1" applyFill="1" applyBorder="1" applyAlignment="1">
      <alignment horizontal="left" vertical="top"/>
    </xf>
    <xf numFmtId="10" fontId="11" fillId="0" borderId="0" xfId="0" applyNumberFormat="1" applyFont="1" applyFill="1" applyBorder="1" applyAlignment="1">
      <alignment horizontal="center" vertical="center"/>
    </xf>
    <xf numFmtId="0" fontId="24" fillId="5" borderId="0" xfId="0" applyFont="1" applyFill="1"/>
    <xf numFmtId="4" fontId="23" fillId="0" borderId="14" xfId="0" applyNumberFormat="1" applyFont="1" applyBorder="1" applyAlignment="1">
      <alignment horizontal="center" vertical="center" wrapText="1"/>
    </xf>
    <xf numFmtId="2" fontId="23" fillId="0" borderId="14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21" fillId="0" borderId="0" xfId="0" applyNumberFormat="1" applyFont="1" applyFill="1" applyBorder="1" applyAlignment="1">
      <alignment horizontal="left" vertical="top"/>
    </xf>
    <xf numFmtId="0" fontId="22" fillId="8" borderId="56" xfId="0" applyFont="1" applyFill="1" applyBorder="1" applyAlignment="1">
      <alignment horizontal="center" vertical="center" wrapText="1"/>
    </xf>
    <xf numFmtId="44" fontId="23" fillId="0" borderId="56" xfId="0" applyNumberFormat="1" applyFont="1" applyBorder="1" applyAlignment="1">
      <alignment vertical="center" wrapText="1"/>
    </xf>
    <xf numFmtId="44" fontId="22" fillId="8" borderId="57" xfId="0" applyNumberFormat="1" applyFont="1" applyFill="1" applyBorder="1" applyAlignment="1">
      <alignment vertical="center" wrapText="1"/>
    </xf>
    <xf numFmtId="169" fontId="23" fillId="0" borderId="56" xfId="6" applyFont="1" applyBorder="1" applyAlignment="1">
      <alignment vertical="center" wrapText="1"/>
    </xf>
    <xf numFmtId="169" fontId="23" fillId="5" borderId="56" xfId="6" applyFont="1" applyFill="1" applyBorder="1" applyAlignment="1">
      <alignment horizontal="left" vertical="center" wrapText="1"/>
    </xf>
    <xf numFmtId="0" fontId="19" fillId="9" borderId="0" xfId="0" applyFont="1" applyFill="1" applyAlignment="1">
      <alignment horizontal="left" vertical="distributed"/>
    </xf>
    <xf numFmtId="44" fontId="23" fillId="8" borderId="57" xfId="0" applyNumberFormat="1" applyFont="1" applyFill="1" applyBorder="1" applyAlignment="1">
      <alignment vertical="center" wrapText="1"/>
    </xf>
    <xf numFmtId="44" fontId="20" fillId="8" borderId="57" xfId="0" applyNumberFormat="1" applyFont="1" applyFill="1" applyBorder="1" applyAlignment="1">
      <alignment vertical="center" wrapText="1"/>
    </xf>
    <xf numFmtId="0" fontId="22" fillId="5" borderId="0" xfId="0" applyFont="1" applyFill="1" applyBorder="1" applyAlignment="1">
      <alignment vertical="center" wrapText="1"/>
    </xf>
    <xf numFmtId="0" fontId="22" fillId="5" borderId="0" xfId="0" applyFont="1" applyFill="1" applyBorder="1" applyAlignment="1">
      <alignment horizontal="center" vertical="center" wrapText="1"/>
    </xf>
    <xf numFmtId="44" fontId="23" fillId="5" borderId="0" xfId="0" applyNumberFormat="1" applyFont="1" applyFill="1" applyBorder="1" applyAlignment="1">
      <alignment vertical="center" wrapText="1"/>
    </xf>
    <xf numFmtId="44" fontId="22" fillId="5" borderId="0" xfId="0" applyNumberFormat="1" applyFont="1" applyFill="1" applyBorder="1" applyAlignment="1">
      <alignment vertical="center"/>
    </xf>
    <xf numFmtId="44" fontId="22" fillId="5" borderId="0" xfId="0" applyNumberFormat="1" applyFont="1" applyFill="1" applyBorder="1" applyAlignment="1">
      <alignment vertical="center" wrapText="1"/>
    </xf>
    <xf numFmtId="44" fontId="22" fillId="0" borderId="14" xfId="0" applyNumberFormat="1" applyFont="1" applyBorder="1" applyAlignment="1">
      <alignment vertical="center"/>
    </xf>
    <xf numFmtId="44" fontId="23" fillId="0" borderId="30" xfId="0" applyNumberFormat="1" applyFont="1" applyBorder="1" applyAlignment="1">
      <alignment vertical="center" wrapText="1"/>
    </xf>
    <xf numFmtId="44" fontId="22" fillId="0" borderId="30" xfId="0" applyNumberFormat="1" applyFont="1" applyBorder="1" applyAlignment="1">
      <alignment vertical="center" wrapText="1"/>
    </xf>
    <xf numFmtId="44" fontId="22" fillId="0" borderId="31" xfId="0" applyNumberFormat="1" applyFont="1" applyBorder="1" applyAlignment="1">
      <alignment vertical="center"/>
    </xf>
    <xf numFmtId="44" fontId="23" fillId="0" borderId="30" xfId="0" applyNumberFormat="1" applyFont="1" applyBorder="1" applyAlignment="1">
      <alignment horizontal="left" vertical="top" wrapText="1"/>
    </xf>
    <xf numFmtId="44" fontId="22" fillId="8" borderId="52" xfId="0" applyNumberFormat="1" applyFont="1" applyFill="1" applyBorder="1" applyAlignment="1">
      <alignment vertical="center" wrapText="1"/>
    </xf>
    <xf numFmtId="0" fontId="6" fillId="0" borderId="0" xfId="2" applyFont="1" applyBorder="1" applyAlignment="1" applyProtection="1">
      <alignment vertical="center"/>
    </xf>
    <xf numFmtId="44" fontId="10" fillId="0" borderId="14" xfId="1" applyFont="1" applyBorder="1"/>
    <xf numFmtId="0" fontId="22" fillId="8" borderId="25" xfId="0" applyFont="1" applyFill="1" applyBorder="1" applyAlignment="1">
      <alignment horizontal="center" vertical="center" wrapText="1"/>
    </xf>
    <xf numFmtId="0" fontId="22" fillId="8" borderId="15" xfId="0" applyFont="1" applyFill="1" applyBorder="1" applyAlignment="1">
      <alignment horizontal="center" vertical="center" wrapText="1"/>
    </xf>
    <xf numFmtId="0" fontId="22" fillId="8" borderId="26" xfId="0" applyFont="1" applyFill="1" applyBorder="1" applyAlignment="1">
      <alignment horizontal="center" vertical="center" wrapText="1"/>
    </xf>
    <xf numFmtId="44" fontId="22" fillId="8" borderId="54" xfId="0" applyNumberFormat="1" applyFont="1" applyFill="1" applyBorder="1" applyAlignment="1">
      <alignment vertical="center" wrapText="1"/>
    </xf>
    <xf numFmtId="0" fontId="21" fillId="5" borderId="0" xfId="17" applyFont="1" applyFill="1"/>
    <xf numFmtId="0" fontId="21" fillId="5" borderId="0" xfId="9" applyFont="1" applyFill="1" applyBorder="1" applyAlignment="1">
      <alignment vertical="center" wrapText="1"/>
    </xf>
    <xf numFmtId="49" fontId="21" fillId="5" borderId="14" xfId="17" applyNumberFormat="1" applyFont="1" applyFill="1" applyBorder="1" applyAlignment="1">
      <alignment horizontal="center" vertical="center" wrapText="1"/>
    </xf>
    <xf numFmtId="0" fontId="21" fillId="5" borderId="14" xfId="17" applyFont="1" applyFill="1" applyBorder="1" applyAlignment="1">
      <alignment horizontal="center" vertical="center" wrapText="1"/>
    </xf>
    <xf numFmtId="9" fontId="21" fillId="5" borderId="14" xfId="22" applyFont="1" applyFill="1" applyBorder="1" applyAlignment="1">
      <alignment horizontal="center" vertical="center" wrapText="1"/>
    </xf>
    <xf numFmtId="49" fontId="21" fillId="5" borderId="6" xfId="17" applyNumberFormat="1" applyFont="1" applyFill="1" applyBorder="1" applyAlignment="1">
      <alignment vertical="center" wrapText="1"/>
    </xf>
    <xf numFmtId="0" fontId="21" fillId="5" borderId="14" xfId="17" applyFont="1" applyFill="1" applyBorder="1" applyAlignment="1"/>
    <xf numFmtId="165" fontId="21" fillId="5" borderId="14" xfId="3" applyFont="1" applyFill="1" applyBorder="1"/>
    <xf numFmtId="0" fontId="21" fillId="5" borderId="14" xfId="17" applyFont="1" applyFill="1" applyBorder="1" applyAlignment="1">
      <alignment horizontal="center"/>
    </xf>
    <xf numFmtId="165" fontId="21" fillId="5" borderId="14" xfId="3" applyFont="1" applyFill="1" applyBorder="1" applyAlignment="1">
      <alignment vertical="center"/>
    </xf>
    <xf numFmtId="0" fontId="21" fillId="5" borderId="0" xfId="17" applyFont="1" applyFill="1" applyBorder="1" applyAlignment="1">
      <alignment horizontal="center"/>
    </xf>
    <xf numFmtId="0" fontId="21" fillId="5" borderId="0" xfId="17" applyFont="1" applyFill="1" applyBorder="1" applyAlignment="1">
      <alignment horizontal="center" vertical="center"/>
    </xf>
    <xf numFmtId="169" fontId="21" fillId="5" borderId="0" xfId="6" applyFont="1" applyFill="1" applyBorder="1"/>
    <xf numFmtId="0" fontId="21" fillId="5" borderId="0" xfId="17" applyFont="1" applyFill="1" applyBorder="1" applyAlignment="1" applyProtection="1"/>
    <xf numFmtId="0" fontId="21" fillId="5" borderId="14" xfId="17" applyFont="1" applyFill="1" applyBorder="1" applyProtection="1"/>
    <xf numFmtId="169" fontId="21" fillId="5" borderId="14" xfId="6" applyFont="1" applyFill="1" applyBorder="1" applyAlignment="1" applyProtection="1">
      <alignment horizontal="right"/>
      <protection locked="0"/>
    </xf>
    <xf numFmtId="4" fontId="21" fillId="5" borderId="0" xfId="17" applyNumberFormat="1" applyFont="1" applyFill="1" applyBorder="1" applyAlignment="1" applyProtection="1">
      <alignment horizontal="center"/>
      <protection locked="0"/>
    </xf>
    <xf numFmtId="0" fontId="21" fillId="5" borderId="14" xfId="17" applyFont="1" applyFill="1" applyBorder="1" applyAlignment="1" applyProtection="1"/>
    <xf numFmtId="0" fontId="21" fillId="5" borderId="14" xfId="6" applyNumberFormat="1" applyFont="1" applyFill="1" applyBorder="1" applyAlignment="1" applyProtection="1"/>
    <xf numFmtId="4" fontId="21" fillId="5" borderId="0" xfId="17" applyNumberFormat="1" applyFont="1" applyFill="1" applyBorder="1" applyAlignment="1" applyProtection="1"/>
    <xf numFmtId="43" fontId="21" fillId="5" borderId="0" xfId="17" applyNumberFormat="1" applyFont="1" applyFill="1"/>
    <xf numFmtId="169" fontId="21" fillId="5" borderId="14" xfId="6" applyFont="1" applyFill="1" applyBorder="1" applyAlignment="1" applyProtection="1">
      <alignment horizontal="center"/>
      <protection locked="0"/>
    </xf>
    <xf numFmtId="0" fontId="21" fillId="5" borderId="14" xfId="17" applyFont="1" applyFill="1" applyBorder="1" applyAlignment="1" applyProtection="1">
      <alignment horizontal="justify" vertical="justify"/>
    </xf>
    <xf numFmtId="169" fontId="21" fillId="5" borderId="14" xfId="6" applyFont="1" applyFill="1" applyBorder="1" applyAlignment="1" applyProtection="1">
      <alignment horizontal="justify" vertical="justify"/>
    </xf>
    <xf numFmtId="4" fontId="21" fillId="5" borderId="0" xfId="17" applyNumberFormat="1" applyFont="1" applyFill="1" applyBorder="1" applyAlignment="1" applyProtection="1">
      <alignment horizontal="justify" vertical="justify"/>
    </xf>
    <xf numFmtId="0" fontId="21" fillId="5" borderId="0" xfId="17" applyFont="1" applyFill="1" applyAlignment="1">
      <alignment horizontal="justify" vertical="justify"/>
    </xf>
    <xf numFmtId="0" fontId="24" fillId="5" borderId="0" xfId="17" applyFont="1" applyFill="1"/>
    <xf numFmtId="0" fontId="11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14" xfId="0" applyFont="1" applyBorder="1"/>
    <xf numFmtId="0" fontId="10" fillId="5" borderId="14" xfId="0" applyFont="1" applyFill="1" applyBorder="1" applyAlignment="1">
      <alignment horizontal="center"/>
    </xf>
    <xf numFmtId="0" fontId="10" fillId="0" borderId="0" xfId="0" applyFont="1" applyAlignment="1">
      <alignment horizontal="left" wrapText="1"/>
    </xf>
    <xf numFmtId="4" fontId="10" fillId="5" borderId="53" xfId="0" applyNumberFormat="1" applyFont="1" applyFill="1" applyBorder="1" applyAlignment="1">
      <alignment horizontal="right" vertical="center" wrapText="1"/>
    </xf>
    <xf numFmtId="0" fontId="5" fillId="0" borderId="0" xfId="17" applyFont="1" applyBorder="1" applyAlignment="1" applyProtection="1">
      <alignment horizontal="center" vertical="center"/>
    </xf>
    <xf numFmtId="0" fontId="5" fillId="0" borderId="3" xfId="17" applyFont="1" applyBorder="1" applyAlignment="1" applyProtection="1">
      <alignment horizontal="center" vertical="center"/>
    </xf>
    <xf numFmtId="44" fontId="5" fillId="0" borderId="61" xfId="1" applyFont="1" applyBorder="1" applyAlignment="1" applyProtection="1">
      <alignment vertical="top"/>
      <protection locked="0"/>
    </xf>
    <xf numFmtId="165" fontId="5" fillId="0" borderId="62" xfId="18" applyFont="1" applyFill="1" applyBorder="1" applyAlignment="1" applyProtection="1">
      <alignment vertical="top"/>
    </xf>
    <xf numFmtId="0" fontId="5" fillId="0" borderId="60" xfId="17" applyFont="1" applyBorder="1" applyAlignment="1" applyProtection="1">
      <alignment vertical="top" wrapText="1"/>
      <protection locked="0"/>
    </xf>
    <xf numFmtId="165" fontId="5" fillId="0" borderId="61" xfId="18" applyFont="1" applyFill="1" applyBorder="1" applyAlignment="1" applyProtection="1">
      <alignment vertical="top"/>
      <protection locked="0"/>
    </xf>
    <xf numFmtId="167" fontId="5" fillId="0" borderId="61" xfId="18" applyNumberFormat="1" applyFont="1" applyFill="1" applyBorder="1" applyAlignment="1" applyProtection="1">
      <alignment horizontal="center" vertical="top"/>
      <protection locked="0"/>
    </xf>
    <xf numFmtId="167" fontId="5" fillId="0" borderId="63" xfId="18" applyNumberFormat="1" applyFont="1" applyFill="1" applyBorder="1" applyAlignment="1" applyProtection="1">
      <alignment horizontal="center" vertical="top"/>
      <protection locked="0"/>
    </xf>
    <xf numFmtId="165" fontId="5" fillId="0" borderId="63" xfId="18" applyFont="1" applyFill="1" applyBorder="1" applyAlignment="1" applyProtection="1">
      <alignment vertical="top"/>
      <protection locked="0"/>
    </xf>
    <xf numFmtId="165" fontId="5" fillId="0" borderId="64" xfId="18" applyFont="1" applyFill="1" applyBorder="1" applyAlignment="1" applyProtection="1">
      <alignment vertical="top"/>
    </xf>
    <xf numFmtId="44" fontId="5" fillId="0" borderId="63" xfId="1" applyFont="1" applyBorder="1" applyAlignment="1" applyProtection="1">
      <alignment vertical="top"/>
      <protection locked="0"/>
    </xf>
    <xf numFmtId="0" fontId="3" fillId="0" borderId="22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4" fontId="3" fillId="0" borderId="66" xfId="0" applyNumberFormat="1" applyFont="1" applyBorder="1" applyAlignment="1">
      <alignment horizontal="center" vertical="center" wrapText="1"/>
    </xf>
    <xf numFmtId="169" fontId="23" fillId="5" borderId="4" xfId="6" applyFont="1" applyFill="1" applyBorder="1" applyAlignment="1">
      <alignment horizontal="left" vertical="center" wrapText="1"/>
    </xf>
    <xf numFmtId="44" fontId="22" fillId="8" borderId="35" xfId="0" applyNumberFormat="1" applyFont="1" applyFill="1" applyBorder="1" applyAlignment="1">
      <alignment vertical="center" wrapText="1"/>
    </xf>
    <xf numFmtId="8" fontId="21" fillId="12" borderId="10" xfId="0" applyNumberFormat="1" applyFont="1" applyFill="1" applyBorder="1" applyAlignment="1">
      <alignment vertical="center" wrapText="1"/>
    </xf>
    <xf numFmtId="44" fontId="22" fillId="5" borderId="10" xfId="0" applyNumberFormat="1" applyFont="1" applyFill="1" applyBorder="1" applyAlignment="1">
      <alignment vertical="center" wrapText="1"/>
    </xf>
    <xf numFmtId="0" fontId="5" fillId="0" borderId="8" xfId="2" applyFont="1" applyBorder="1"/>
    <xf numFmtId="0" fontId="5" fillId="0" borderId="7" xfId="2" applyFont="1" applyBorder="1"/>
    <xf numFmtId="4" fontId="5" fillId="0" borderId="9" xfId="2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6" borderId="14" xfId="0" applyFont="1" applyFill="1" applyBorder="1" applyAlignment="1">
      <alignment horizontal="center"/>
    </xf>
    <xf numFmtId="0" fontId="6" fillId="0" borderId="4" xfId="17" applyFont="1" applyFill="1" applyBorder="1" applyAlignment="1" applyProtection="1">
      <alignment horizontal="left" vertical="center" wrapText="1"/>
    </xf>
    <xf numFmtId="0" fontId="6" fillId="0" borderId="5" xfId="17" applyFont="1" applyFill="1" applyBorder="1" applyAlignment="1" applyProtection="1">
      <alignment horizontal="left" vertical="center" wrapText="1"/>
    </xf>
    <xf numFmtId="4" fontId="5" fillId="0" borderId="3" xfId="2" applyNumberFormat="1" applyFont="1" applyBorder="1" applyAlignment="1">
      <alignment horizontal="center"/>
    </xf>
    <xf numFmtId="164" fontId="5" fillId="0" borderId="5" xfId="2" applyNumberFormat="1" applyFont="1" applyBorder="1" applyAlignment="1">
      <alignment horizontal="center"/>
    </xf>
    <xf numFmtId="0" fontId="6" fillId="0" borderId="7" xfId="2" applyFont="1" applyBorder="1" applyAlignment="1">
      <alignment horizontal="center" wrapText="1"/>
    </xf>
    <xf numFmtId="0" fontId="6" fillId="4" borderId="8" xfId="17" applyFont="1" applyFill="1" applyBorder="1" applyAlignment="1" applyProtection="1">
      <alignment vertical="center" wrapText="1"/>
    </xf>
    <xf numFmtId="10" fontId="6" fillId="4" borderId="7" xfId="17" applyNumberFormat="1" applyFont="1" applyFill="1" applyBorder="1" applyAlignment="1" applyProtection="1">
      <alignment horizontal="center" vertical="center" wrapText="1"/>
    </xf>
    <xf numFmtId="10" fontId="6" fillId="4" borderId="9" xfId="17" applyNumberFormat="1" applyFont="1" applyFill="1" applyBorder="1" applyAlignment="1" applyProtection="1">
      <alignment horizontal="right" vertical="center" wrapText="1"/>
    </xf>
    <xf numFmtId="10" fontId="6" fillId="4" borderId="7" xfId="17" applyNumberFormat="1" applyFont="1" applyFill="1" applyBorder="1" applyAlignment="1" applyProtection="1">
      <alignment horizontal="right" vertical="center" wrapText="1"/>
    </xf>
    <xf numFmtId="44" fontId="5" fillId="0" borderId="1" xfId="1" applyFont="1" applyBorder="1" applyAlignment="1" applyProtection="1">
      <alignment vertical="top"/>
      <protection locked="0"/>
    </xf>
    <xf numFmtId="44" fontId="5" fillId="0" borderId="69" xfId="1" applyFont="1" applyBorder="1" applyAlignment="1" applyProtection="1">
      <alignment vertical="top"/>
      <protection locked="0"/>
    </xf>
    <xf numFmtId="0" fontId="27" fillId="0" borderId="1" xfId="0" applyNumberFormat="1" applyFont="1" applyBorder="1" applyAlignment="1">
      <alignment horizontal="center" vertical="center" wrapText="1"/>
    </xf>
    <xf numFmtId="0" fontId="5" fillId="0" borderId="70" xfId="18" applyNumberFormat="1" applyFont="1" applyFill="1" applyBorder="1" applyAlignment="1" applyProtection="1">
      <alignment horizontal="center" vertical="top"/>
      <protection locked="0"/>
    </xf>
    <xf numFmtId="165" fontId="5" fillId="0" borderId="70" xfId="18" applyFont="1" applyFill="1" applyBorder="1" applyAlignment="1" applyProtection="1">
      <alignment vertical="top"/>
      <protection locked="0"/>
    </xf>
    <xf numFmtId="44" fontId="5" fillId="0" borderId="70" xfId="1" applyFont="1" applyBorder="1" applyAlignment="1" applyProtection="1">
      <alignment vertical="top"/>
      <protection locked="0"/>
    </xf>
    <xf numFmtId="165" fontId="5" fillId="0" borderId="71" xfId="18" applyFont="1" applyFill="1" applyBorder="1" applyAlignment="1" applyProtection="1">
      <alignment vertical="top"/>
    </xf>
    <xf numFmtId="165" fontId="5" fillId="0" borderId="61" xfId="18" applyFont="1" applyFill="1" applyBorder="1" applyAlignment="1" applyProtection="1">
      <alignment horizontal="center" vertical="top"/>
      <protection locked="0"/>
    </xf>
    <xf numFmtId="165" fontId="5" fillId="0" borderId="1" xfId="18" applyFont="1" applyFill="1" applyBorder="1" applyAlignment="1" applyProtection="1">
      <alignment vertical="top"/>
      <protection locked="0"/>
    </xf>
    <xf numFmtId="0" fontId="6" fillId="13" borderId="4" xfId="17" applyFont="1" applyFill="1" applyBorder="1" applyAlignment="1" applyProtection="1">
      <alignment vertical="center" wrapText="1"/>
    </xf>
    <xf numFmtId="165" fontId="6" fillId="13" borderId="5" xfId="18" applyFont="1" applyFill="1" applyBorder="1" applyAlignment="1" applyProtection="1">
      <alignment horizontal="center" vertical="center"/>
    </xf>
    <xf numFmtId="168" fontId="6" fillId="13" borderId="5" xfId="17" applyNumberFormat="1" applyFont="1" applyFill="1" applyBorder="1" applyAlignment="1" applyProtection="1">
      <alignment vertical="center"/>
    </xf>
    <xf numFmtId="165" fontId="6" fillId="13" borderId="5" xfId="18" applyFont="1" applyFill="1" applyBorder="1" applyAlignment="1" applyProtection="1">
      <alignment vertical="center"/>
    </xf>
    <xf numFmtId="165" fontId="6" fillId="13" borderId="6" xfId="18" applyFont="1" applyFill="1" applyBorder="1" applyAlignment="1" applyProtection="1">
      <alignment vertical="center"/>
    </xf>
    <xf numFmtId="43" fontId="6" fillId="0" borderId="14" xfId="17" applyNumberFormat="1" applyFont="1" applyFill="1" applyBorder="1" applyAlignment="1" applyProtection="1">
      <alignment vertical="center"/>
    </xf>
    <xf numFmtId="0" fontId="5" fillId="5" borderId="0" xfId="17" applyFont="1" applyFill="1" applyBorder="1" applyAlignment="1" applyProtection="1">
      <alignment vertical="top"/>
      <protection locked="0"/>
    </xf>
    <xf numFmtId="10" fontId="6" fillId="5" borderId="0" xfId="17" applyNumberFormat="1" applyFont="1" applyFill="1" applyBorder="1" applyAlignment="1" applyProtection="1">
      <alignment horizontal="right" vertical="center" wrapText="1"/>
    </xf>
    <xf numFmtId="44" fontId="5" fillId="0" borderId="0" xfId="1" applyFont="1" applyBorder="1" applyAlignment="1" applyProtection="1">
      <alignment vertical="top"/>
      <protection locked="0"/>
    </xf>
    <xf numFmtId="165" fontId="5" fillId="0" borderId="0" xfId="18" applyFont="1" applyFill="1" applyBorder="1" applyAlignment="1" applyProtection="1">
      <alignment vertical="top"/>
    </xf>
    <xf numFmtId="0" fontId="5" fillId="0" borderId="69" xfId="18" applyNumberFormat="1" applyFont="1" applyFill="1" applyBorder="1" applyAlignment="1" applyProtection="1">
      <alignment vertical="top"/>
    </xf>
    <xf numFmtId="0" fontId="6" fillId="0" borderId="5" xfId="17" applyFont="1" applyFill="1" applyBorder="1" applyAlignment="1" applyProtection="1">
      <alignment vertical="center" wrapText="1"/>
    </xf>
    <xf numFmtId="165" fontId="6" fillId="0" borderId="14" xfId="18" applyFont="1" applyFill="1" applyBorder="1" applyAlignment="1" applyProtection="1">
      <alignment vertical="center"/>
    </xf>
    <xf numFmtId="0" fontId="6" fillId="0" borderId="0" xfId="17" applyFont="1" applyFill="1" applyBorder="1" applyAlignment="1" applyProtection="1">
      <alignment horizontal="center" vertical="center" wrapText="1"/>
    </xf>
    <xf numFmtId="165" fontId="6" fillId="5" borderId="0" xfId="18" applyFont="1" applyFill="1" applyBorder="1" applyAlignment="1" applyProtection="1">
      <alignment vertical="center"/>
    </xf>
    <xf numFmtId="44" fontId="5" fillId="0" borderId="14" xfId="1" applyNumberFormat="1" applyFont="1" applyBorder="1" applyAlignment="1" applyProtection="1">
      <alignment horizontal="left" vertical="center" wrapText="1"/>
    </xf>
    <xf numFmtId="44" fontId="6" fillId="0" borderId="14" xfId="17" applyNumberFormat="1" applyFont="1" applyFill="1" applyBorder="1" applyAlignment="1" applyProtection="1">
      <alignment horizontal="left" vertical="center" wrapText="1"/>
    </xf>
    <xf numFmtId="44" fontId="2" fillId="0" borderId="0" xfId="1"/>
    <xf numFmtId="0" fontId="9" fillId="0" borderId="0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6" borderId="14" xfId="0" applyFont="1" applyFill="1" applyBorder="1" applyAlignment="1">
      <alignment horizontal="center"/>
    </xf>
    <xf numFmtId="0" fontId="9" fillId="0" borderId="14" xfId="0" applyFont="1" applyBorder="1"/>
    <xf numFmtId="0" fontId="10" fillId="5" borderId="14" xfId="0" applyFont="1" applyFill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4" fillId="0" borderId="3" xfId="17" applyFont="1" applyBorder="1" applyAlignment="1" applyProtection="1">
      <alignment vertical="center"/>
    </xf>
    <xf numFmtId="44" fontId="5" fillId="0" borderId="69" xfId="1" applyFont="1" applyBorder="1" applyAlignment="1" applyProtection="1">
      <alignment vertical="top"/>
    </xf>
    <xf numFmtId="165" fontId="5" fillId="0" borderId="0" xfId="18" applyFont="1" applyFill="1" applyBorder="1" applyAlignment="1" applyProtection="1">
      <alignment vertical="top"/>
      <protection locked="0"/>
    </xf>
    <xf numFmtId="0" fontId="27" fillId="0" borderId="0" xfId="0" applyNumberFormat="1" applyFont="1" applyBorder="1" applyAlignment="1">
      <alignment horizontal="center" vertical="center" wrapText="1"/>
    </xf>
    <xf numFmtId="0" fontId="5" fillId="0" borderId="0" xfId="17" applyFont="1" applyBorder="1" applyAlignment="1" applyProtection="1">
      <alignment vertical="top" wrapText="1"/>
      <protection locked="0"/>
    </xf>
    <xf numFmtId="0" fontId="5" fillId="0" borderId="0" xfId="18" applyNumberFormat="1" applyFont="1" applyFill="1" applyBorder="1" applyAlignment="1" applyProtection="1">
      <alignment vertical="top"/>
    </xf>
    <xf numFmtId="167" fontId="5" fillId="0" borderId="0" xfId="18" applyNumberFormat="1" applyFont="1" applyFill="1" applyBorder="1" applyAlignment="1" applyProtection="1">
      <alignment horizontal="center" vertical="top"/>
      <protection locked="0"/>
    </xf>
    <xf numFmtId="44" fontId="5" fillId="0" borderId="0" xfId="18" applyNumberFormat="1" applyFont="1" applyFill="1" applyBorder="1" applyAlignment="1" applyProtection="1">
      <alignment vertical="top"/>
    </xf>
    <xf numFmtId="0" fontId="27" fillId="0" borderId="72" xfId="0" applyNumberFormat="1" applyFont="1" applyBorder="1" applyAlignment="1">
      <alignment horizontal="center" vertical="center" wrapText="1"/>
    </xf>
    <xf numFmtId="0" fontId="5" fillId="0" borderId="7" xfId="17" applyFont="1" applyBorder="1" applyAlignment="1" applyProtection="1">
      <alignment vertical="top"/>
    </xf>
    <xf numFmtId="167" fontId="5" fillId="0" borderId="73" xfId="18" applyNumberFormat="1" applyFont="1" applyFill="1" applyBorder="1" applyAlignment="1" applyProtection="1">
      <alignment horizontal="center" vertical="top"/>
      <protection locked="0"/>
    </xf>
    <xf numFmtId="165" fontId="5" fillId="0" borderId="73" xfId="18" applyFont="1" applyFill="1" applyBorder="1" applyAlignment="1" applyProtection="1">
      <alignment vertical="top"/>
      <protection locked="0"/>
    </xf>
    <xf numFmtId="44" fontId="5" fillId="0" borderId="73" xfId="1" applyFont="1" applyBorder="1" applyAlignment="1" applyProtection="1">
      <alignment vertical="top"/>
      <protection locked="0"/>
    </xf>
    <xf numFmtId="165" fontId="5" fillId="0" borderId="74" xfId="18" applyFont="1" applyFill="1" applyBorder="1" applyAlignment="1" applyProtection="1">
      <alignment vertical="top"/>
    </xf>
    <xf numFmtId="165" fontId="5" fillId="0" borderId="7" xfId="18" applyFont="1" applyFill="1" applyBorder="1" applyAlignment="1" applyProtection="1">
      <alignment vertical="top"/>
    </xf>
    <xf numFmtId="0" fontId="27" fillId="0" borderId="75" xfId="0" applyNumberFormat="1" applyFont="1" applyBorder="1" applyAlignment="1">
      <alignment horizontal="center" vertical="center" wrapText="1"/>
    </xf>
    <xf numFmtId="165" fontId="5" fillId="0" borderId="75" xfId="18" applyFont="1" applyFill="1" applyBorder="1" applyAlignment="1" applyProtection="1">
      <alignment vertical="top"/>
      <protection locked="0"/>
    </xf>
    <xf numFmtId="0" fontId="5" fillId="0" borderId="76" xfId="18" applyNumberFormat="1" applyFont="1" applyFill="1" applyBorder="1" applyAlignment="1" applyProtection="1">
      <alignment vertical="top"/>
    </xf>
    <xf numFmtId="0" fontId="5" fillId="0" borderId="3" xfId="17" applyFont="1" applyBorder="1" applyAlignment="1" applyProtection="1">
      <alignment vertical="top"/>
    </xf>
    <xf numFmtId="165" fontId="5" fillId="0" borderId="3" xfId="18" applyFont="1" applyFill="1" applyBorder="1" applyAlignment="1" applyProtection="1">
      <alignment vertical="top"/>
    </xf>
    <xf numFmtId="44" fontId="5" fillId="0" borderId="76" xfId="18" applyNumberFormat="1" applyFont="1" applyFill="1" applyBorder="1" applyAlignment="1" applyProtection="1">
      <alignment vertical="top"/>
    </xf>
    <xf numFmtId="0" fontId="5" fillId="0" borderId="60" xfId="17" applyFont="1" applyFill="1" applyBorder="1" applyAlignment="1" applyProtection="1">
      <alignment vertical="top" wrapText="1"/>
      <protection locked="0"/>
    </xf>
    <xf numFmtId="0" fontId="6" fillId="0" borderId="0" xfId="17" applyFont="1" applyBorder="1" applyAlignment="1" applyProtection="1">
      <alignment horizontal="center" vertical="center"/>
    </xf>
    <xf numFmtId="173" fontId="26" fillId="0" borderId="0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7" xfId="0" applyFont="1" applyBorder="1" applyAlignment="1">
      <alignment horizontal="left"/>
    </xf>
    <xf numFmtId="14" fontId="9" fillId="0" borderId="7" xfId="0" applyNumberFormat="1" applyFont="1" applyBorder="1" applyAlignment="1">
      <alignment horizontal="center"/>
    </xf>
    <xf numFmtId="10" fontId="10" fillId="0" borderId="0" xfId="0" applyNumberFormat="1" applyFont="1" applyBorder="1" applyAlignment="1">
      <alignment horizontal="center"/>
    </xf>
    <xf numFmtId="2" fontId="10" fillId="0" borderId="0" xfId="0" applyNumberFormat="1" applyFont="1" applyBorder="1"/>
    <xf numFmtId="10" fontId="10" fillId="0" borderId="80" xfId="0" applyNumberFormat="1" applyFont="1" applyBorder="1" applyAlignment="1">
      <alignment horizontal="center"/>
    </xf>
    <xf numFmtId="2" fontId="10" fillId="0" borderId="80" xfId="0" applyNumberFormat="1" applyFont="1" applyBorder="1"/>
    <xf numFmtId="4" fontId="5" fillId="0" borderId="11" xfId="2" applyNumberFormat="1" applyFont="1" applyBorder="1" applyAlignment="1">
      <alignment horizontal="center"/>
    </xf>
    <xf numFmtId="10" fontId="9" fillId="0" borderId="0" xfId="0" applyNumberFormat="1" applyFont="1" applyBorder="1"/>
    <xf numFmtId="0" fontId="5" fillId="5" borderId="0" xfId="2" applyFont="1" applyFill="1"/>
    <xf numFmtId="0" fontId="6" fillId="5" borderId="0" xfId="2" applyFont="1" applyFill="1"/>
    <xf numFmtId="164" fontId="5" fillId="0" borderId="14" xfId="2" applyNumberFormat="1" applyFont="1" applyBorder="1" applyAlignment="1">
      <alignment horizontal="center"/>
    </xf>
    <xf numFmtId="4" fontId="5" fillId="0" borderId="14" xfId="2" applyNumberFormat="1" applyFont="1" applyBorder="1" applyAlignment="1">
      <alignment horizontal="center"/>
    </xf>
    <xf numFmtId="4" fontId="5" fillId="5" borderId="14" xfId="2" applyNumberFormat="1" applyFont="1" applyFill="1" applyBorder="1" applyAlignment="1">
      <alignment horizontal="center"/>
    </xf>
    <xf numFmtId="4" fontId="5" fillId="5" borderId="5" xfId="2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wrapText="1"/>
    </xf>
    <xf numFmtId="0" fontId="6" fillId="0" borderId="9" xfId="2" applyFont="1" applyFill="1" applyBorder="1" applyAlignment="1">
      <alignment horizontal="center" wrapText="1"/>
    </xf>
    <xf numFmtId="0" fontId="6" fillId="0" borderId="80" xfId="2" applyFont="1" applyFill="1" applyBorder="1" applyAlignment="1">
      <alignment horizontal="center" wrapText="1"/>
    </xf>
    <xf numFmtId="44" fontId="5" fillId="0" borderId="15" xfId="1" applyFont="1" applyBorder="1" applyAlignment="1">
      <alignment horizontal="center"/>
    </xf>
    <xf numFmtId="0" fontId="5" fillId="0" borderId="23" xfId="2" applyFont="1" applyBorder="1"/>
    <xf numFmtId="4" fontId="5" fillId="5" borderId="50" xfId="2" applyNumberFormat="1" applyFont="1" applyFill="1" applyBorder="1" applyAlignment="1">
      <alignment horizontal="center"/>
    </xf>
    <xf numFmtId="164" fontId="5" fillId="0" borderId="50" xfId="2" applyNumberFormat="1" applyFont="1" applyBorder="1" applyAlignment="1">
      <alignment horizontal="center"/>
    </xf>
    <xf numFmtId="4" fontId="5" fillId="0" borderId="50" xfId="2" applyNumberFormat="1" applyFont="1" applyBorder="1" applyAlignment="1">
      <alignment horizontal="center"/>
    </xf>
    <xf numFmtId="4" fontId="5" fillId="0" borderId="81" xfId="2" applyNumberFormat="1" applyFont="1" applyBorder="1" applyAlignment="1">
      <alignment horizontal="center"/>
    </xf>
    <xf numFmtId="44" fontId="5" fillId="0" borderId="50" xfId="1" applyFont="1" applyBorder="1" applyAlignment="1">
      <alignment horizontal="center"/>
    </xf>
    <xf numFmtId="0" fontId="5" fillId="0" borderId="30" xfId="2" applyFont="1" applyBorder="1"/>
    <xf numFmtId="0" fontId="5" fillId="0" borderId="82" xfId="2" applyFont="1" applyBorder="1"/>
    <xf numFmtId="4" fontId="5" fillId="5" borderId="27" xfId="2" applyNumberFormat="1" applyFont="1" applyFill="1" applyBorder="1" applyAlignment="1">
      <alignment horizontal="center"/>
    </xf>
    <xf numFmtId="164" fontId="5" fillId="0" borderId="27" xfId="2" applyNumberFormat="1" applyFont="1" applyBorder="1" applyAlignment="1">
      <alignment horizontal="center"/>
    </xf>
    <xf numFmtId="4" fontId="5" fillId="0" borderId="83" xfId="2" applyNumberFormat="1" applyFont="1" applyBorder="1" applyAlignment="1">
      <alignment horizontal="center"/>
    </xf>
    <xf numFmtId="0" fontId="5" fillId="0" borderId="17" xfId="2" applyFont="1" applyBorder="1"/>
    <xf numFmtId="4" fontId="6" fillId="0" borderId="48" xfId="2" applyNumberFormat="1" applyFont="1" applyBorder="1" applyAlignment="1">
      <alignment horizontal="center"/>
    </xf>
    <xf numFmtId="44" fontId="6" fillId="0" borderId="52" xfId="1" applyFont="1" applyBorder="1" applyAlignment="1">
      <alignment horizontal="center"/>
    </xf>
    <xf numFmtId="4" fontId="5" fillId="0" borderId="9" xfId="2" applyNumberFormat="1" applyFont="1" applyBorder="1" applyAlignment="1">
      <alignment horizontal="center"/>
    </xf>
    <xf numFmtId="4" fontId="5" fillId="0" borderId="7" xfId="2" applyNumberFormat="1" applyFont="1" applyBorder="1" applyAlignment="1">
      <alignment horizontal="center"/>
    </xf>
    <xf numFmtId="0" fontId="5" fillId="0" borderId="12" xfId="2" applyFont="1" applyBorder="1"/>
    <xf numFmtId="0" fontId="6" fillId="0" borderId="4" xfId="2" applyFont="1" applyBorder="1"/>
    <xf numFmtId="0" fontId="5" fillId="0" borderId="82" xfId="2" applyFont="1" applyBorder="1" applyAlignment="1">
      <alignment horizontal="left" vertical="distributed"/>
    </xf>
    <xf numFmtId="4" fontId="5" fillId="0" borderId="27" xfId="2" applyNumberFormat="1" applyFont="1" applyBorder="1" applyAlignment="1">
      <alignment horizontal="center"/>
    </xf>
    <xf numFmtId="0" fontId="5" fillId="0" borderId="18" xfId="2" applyFont="1" applyBorder="1"/>
    <xf numFmtId="44" fontId="5" fillId="0" borderId="15" xfId="2" applyNumberFormat="1" applyFont="1" applyBorder="1" applyAlignment="1">
      <alignment horizontal="center"/>
    </xf>
    <xf numFmtId="4" fontId="6" fillId="0" borderId="42" xfId="2" applyNumberFormat="1" applyFont="1" applyBorder="1" applyAlignment="1">
      <alignment horizontal="center"/>
    </xf>
    <xf numFmtId="44" fontId="6" fillId="0" borderId="84" xfId="1" applyFont="1" applyBorder="1" applyAlignment="1">
      <alignment horizontal="center"/>
    </xf>
    <xf numFmtId="44" fontId="6" fillId="0" borderId="0" xfId="2" applyNumberFormat="1" applyFont="1" applyAlignment="1">
      <alignment horizontal="center"/>
    </xf>
    <xf numFmtId="4" fontId="5" fillId="5" borderId="7" xfId="2" applyNumberFormat="1" applyFont="1" applyFill="1" applyBorder="1" applyAlignment="1">
      <alignment horizontal="center"/>
    </xf>
    <xf numFmtId="44" fontId="5" fillId="0" borderId="5" xfId="1" applyFont="1" applyBorder="1" applyAlignment="1">
      <alignment horizontal="center"/>
    </xf>
    <xf numFmtId="44" fontId="6" fillId="0" borderId="5" xfId="2" applyNumberFormat="1" applyFont="1" applyBorder="1" applyAlignment="1">
      <alignment horizontal="center"/>
    </xf>
    <xf numFmtId="44" fontId="6" fillId="0" borderId="14" xfId="2" applyNumberFormat="1" applyFont="1" applyBorder="1"/>
    <xf numFmtId="165" fontId="5" fillId="0" borderId="14" xfId="2" applyNumberFormat="1" applyFont="1" applyBorder="1" applyAlignment="1">
      <alignment horizontal="center"/>
    </xf>
    <xf numFmtId="0" fontId="10" fillId="0" borderId="14" xfId="0" applyFont="1" applyBorder="1" applyAlignment="1">
      <alignment horizontal="left"/>
    </xf>
    <xf numFmtId="0" fontId="9" fillId="0" borderId="14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5" borderId="14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0" fontId="9" fillId="0" borderId="0" xfId="22" applyNumberFormat="1" applyFont="1" applyBorder="1"/>
    <xf numFmtId="44" fontId="9" fillId="0" borderId="0" xfId="1" applyFont="1" applyBorder="1" applyAlignment="1"/>
    <xf numFmtId="0" fontId="9" fillId="5" borderId="0" xfId="0" applyFont="1" applyFill="1" applyBorder="1" applyAlignment="1">
      <alignment horizontal="left" vertical="distributed" wrapText="1"/>
    </xf>
    <xf numFmtId="0" fontId="9" fillId="5" borderId="0" xfId="0" applyFont="1" applyFill="1" applyBorder="1" applyAlignment="1">
      <alignment horizontal="left" vertical="distributed"/>
    </xf>
    <xf numFmtId="0" fontId="13" fillId="0" borderId="5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/>
    </xf>
    <xf numFmtId="9" fontId="9" fillId="0" borderId="0" xfId="22" applyFont="1"/>
    <xf numFmtId="0" fontId="30" fillId="0" borderId="0" xfId="0" applyFont="1"/>
    <xf numFmtId="0" fontId="29" fillId="0" borderId="0" xfId="0" applyFont="1"/>
    <xf numFmtId="2" fontId="9" fillId="0" borderId="0" xfId="22" applyNumberFormat="1" applyFont="1" applyBorder="1"/>
    <xf numFmtId="44" fontId="10" fillId="6" borderId="6" xfId="0" applyNumberFormat="1" applyFont="1" applyFill="1" applyBorder="1" applyAlignment="1">
      <alignment vertical="top"/>
    </xf>
    <xf numFmtId="0" fontId="10" fillId="0" borderId="7" xfId="0" applyFont="1" applyBorder="1" applyAlignment="1">
      <alignment horizontal="center"/>
    </xf>
    <xf numFmtId="2" fontId="10" fillId="0" borderId="7" xfId="0" applyNumberFormat="1" applyFont="1" applyFill="1" applyBorder="1"/>
    <xf numFmtId="44" fontId="10" fillId="6" borderId="6" xfId="0" applyNumberFormat="1" applyFont="1" applyFill="1" applyBorder="1" applyAlignment="1"/>
    <xf numFmtId="9" fontId="9" fillId="0" borderId="0" xfId="22" applyFont="1" applyBorder="1"/>
    <xf numFmtId="43" fontId="9" fillId="0" borderId="0" xfId="23" applyFont="1" applyBorder="1"/>
    <xf numFmtId="2" fontId="10" fillId="0" borderId="6" xfId="0" applyNumberFormat="1" applyFont="1" applyBorder="1"/>
    <xf numFmtId="10" fontId="32" fillId="14" borderId="98" xfId="0" applyNumberFormat="1" applyFont="1" applyFill="1" applyBorder="1" applyAlignment="1">
      <alignment horizontal="center" vertical="center"/>
    </xf>
    <xf numFmtId="10" fontId="32" fillId="14" borderId="91" xfId="0" applyNumberFormat="1" applyFont="1" applyFill="1" applyBorder="1" applyAlignment="1">
      <alignment horizontal="center" vertical="center"/>
    </xf>
    <xf numFmtId="10" fontId="32" fillId="0" borderId="98" xfId="0" applyNumberFormat="1" applyFont="1" applyFill="1" applyBorder="1" applyAlignment="1">
      <alignment horizontal="center" vertical="center"/>
    </xf>
    <xf numFmtId="10" fontId="32" fillId="0" borderId="0" xfId="0" applyNumberFormat="1" applyFont="1" applyFill="1" applyBorder="1" applyAlignment="1">
      <alignment horizontal="center" vertical="center"/>
    </xf>
    <xf numFmtId="10" fontId="32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10" fontId="32" fillId="0" borderId="10" xfId="0" applyNumberFormat="1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left" vertical="center"/>
    </xf>
    <xf numFmtId="10" fontId="32" fillId="0" borderId="11" xfId="0" applyNumberFormat="1" applyFont="1" applyFill="1" applyBorder="1" applyAlignment="1">
      <alignment vertical="center"/>
    </xf>
    <xf numFmtId="10" fontId="32" fillId="0" borderId="13" xfId="0" applyNumberFormat="1" applyFont="1" applyFill="1" applyBorder="1" applyAlignment="1">
      <alignment vertical="center"/>
    </xf>
    <xf numFmtId="10" fontId="32" fillId="0" borderId="91" xfId="0" applyNumberFormat="1" applyFont="1" applyFill="1" applyBorder="1" applyAlignment="1">
      <alignment horizontal="center" vertical="center"/>
    </xf>
    <xf numFmtId="10" fontId="32" fillId="0" borderId="14" xfId="0" applyNumberFormat="1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2" fontId="34" fillId="0" borderId="14" xfId="0" applyNumberFormat="1" applyFont="1" applyFill="1" applyBorder="1" applyAlignment="1">
      <alignment vertical="center"/>
    </xf>
    <xf numFmtId="2" fontId="35" fillId="0" borderId="0" xfId="0" applyNumberFormat="1" applyFont="1" applyFill="1" applyBorder="1"/>
    <xf numFmtId="174" fontId="36" fillId="0" borderId="0" xfId="23" applyNumberFormat="1" applyFont="1" applyFill="1" applyBorder="1" applyAlignment="1">
      <alignment horizontal="center" vertical="center"/>
    </xf>
    <xf numFmtId="44" fontId="10" fillId="0" borderId="0" xfId="1" applyFont="1" applyBorder="1"/>
    <xf numFmtId="44" fontId="37" fillId="0" borderId="14" xfId="1" applyFont="1" applyBorder="1"/>
    <xf numFmtId="44" fontId="37" fillId="0" borderId="0" xfId="1" applyFont="1" applyBorder="1"/>
    <xf numFmtId="44" fontId="5" fillId="0" borderId="104" xfId="2" applyNumberFormat="1" applyFont="1" applyBorder="1" applyAlignment="1">
      <alignment horizontal="center"/>
    </xf>
    <xf numFmtId="44" fontId="38" fillId="0" borderId="26" xfId="2" applyNumberFormat="1" applyFont="1" applyBorder="1" applyAlignment="1">
      <alignment horizontal="center"/>
    </xf>
    <xf numFmtId="44" fontId="38" fillId="0" borderId="15" xfId="2" applyNumberFormat="1" applyFont="1" applyBorder="1" applyAlignment="1">
      <alignment horizontal="center"/>
    </xf>
    <xf numFmtId="44" fontId="2" fillId="0" borderId="43" xfId="1" applyBorder="1"/>
    <xf numFmtId="44" fontId="10" fillId="15" borderId="87" xfId="0" applyNumberFormat="1" applyFont="1" applyFill="1" applyBorder="1" applyAlignment="1">
      <alignment vertical="center" wrapText="1"/>
    </xf>
    <xf numFmtId="0" fontId="10" fillId="15" borderId="14" xfId="0" applyFont="1" applyFill="1" applyBorder="1" applyAlignment="1">
      <alignment horizontal="center"/>
    </xf>
    <xf numFmtId="10" fontId="10" fillId="15" borderId="14" xfId="0" applyNumberFormat="1" applyFont="1" applyFill="1" applyBorder="1" applyAlignment="1">
      <alignment horizontal="center"/>
    </xf>
    <xf numFmtId="44" fontId="10" fillId="16" borderId="87" xfId="0" applyNumberFormat="1" applyFont="1" applyFill="1" applyBorder="1" applyAlignment="1">
      <alignment vertical="center" wrapText="1"/>
    </xf>
    <xf numFmtId="0" fontId="10" fillId="16" borderId="14" xfId="0" applyFont="1" applyFill="1" applyBorder="1" applyAlignment="1">
      <alignment horizontal="center"/>
    </xf>
    <xf numFmtId="10" fontId="10" fillId="16" borderId="14" xfId="0" applyNumberFormat="1" applyFont="1" applyFill="1" applyBorder="1" applyAlignment="1">
      <alignment horizontal="center"/>
    </xf>
    <xf numFmtId="0" fontId="34" fillId="13" borderId="14" xfId="0" applyFont="1" applyFill="1" applyBorder="1" applyAlignment="1">
      <alignment horizontal="center"/>
    </xf>
    <xf numFmtId="0" fontId="9" fillId="5" borderId="0" xfId="0" applyFont="1" applyFill="1" applyAlignment="1">
      <alignment horizontal="left"/>
    </xf>
    <xf numFmtId="0" fontId="5" fillId="0" borderId="18" xfId="2" applyFont="1" applyBorder="1" applyAlignment="1">
      <alignment horizontal="left" vertical="distributed"/>
    </xf>
    <xf numFmtId="0" fontId="39" fillId="5" borderId="0" xfId="2" applyFont="1" applyFill="1"/>
    <xf numFmtId="44" fontId="41" fillId="5" borderId="0" xfId="1" applyFont="1" applyFill="1"/>
    <xf numFmtId="0" fontId="40" fillId="5" borderId="0" xfId="2" applyFont="1" applyFill="1"/>
    <xf numFmtId="172" fontId="40" fillId="5" borderId="0" xfId="2" applyNumberFormat="1" applyFont="1" applyFill="1"/>
    <xf numFmtId="44" fontId="40" fillId="5" borderId="0" xfId="2" applyNumberFormat="1" applyFont="1" applyFill="1"/>
    <xf numFmtId="43" fontId="40" fillId="5" borderId="0" xfId="23" applyFont="1" applyFill="1"/>
    <xf numFmtId="44" fontId="39" fillId="5" borderId="0" xfId="2" applyNumberFormat="1" applyFont="1" applyFill="1"/>
    <xf numFmtId="0" fontId="6" fillId="0" borderId="10" xfId="2" applyFont="1" applyBorder="1"/>
    <xf numFmtId="4" fontId="6" fillId="0" borderId="0" xfId="2" applyNumberFormat="1" applyFont="1" applyBorder="1" applyAlignment="1">
      <alignment horizontal="center"/>
    </xf>
    <xf numFmtId="164" fontId="6" fillId="0" borderId="0" xfId="2" applyNumberFormat="1" applyFont="1" applyBorder="1" applyAlignment="1">
      <alignment horizontal="center"/>
    </xf>
    <xf numFmtId="44" fontId="5" fillId="0" borderId="0" xfId="1" applyFont="1" applyBorder="1" applyAlignment="1">
      <alignment horizontal="center"/>
    </xf>
    <xf numFmtId="0" fontId="6" fillId="3" borderId="4" xfId="2" applyFont="1" applyFill="1" applyBorder="1"/>
    <xf numFmtId="0" fontId="5" fillId="3" borderId="5" xfId="2" applyFont="1" applyFill="1" applyBorder="1" applyAlignment="1">
      <alignment horizontal="center"/>
    </xf>
    <xf numFmtId="0" fontId="5" fillId="3" borderId="6" xfId="2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44" fontId="31" fillId="3" borderId="13" xfId="0" applyNumberFormat="1" applyFont="1" applyFill="1" applyBorder="1" applyAlignment="1">
      <alignment vertical="center"/>
    </xf>
    <xf numFmtId="0" fontId="10" fillId="3" borderId="22" xfId="0" applyFont="1" applyFill="1" applyBorder="1" applyAlignment="1">
      <alignment horizontal="center"/>
    </xf>
    <xf numFmtId="10" fontId="6" fillId="3" borderId="4" xfId="2" applyNumberFormat="1" applyFont="1" applyFill="1" applyBorder="1" applyAlignment="1" applyProtection="1">
      <alignment horizontal="center" vertical="center" wrapText="1"/>
    </xf>
    <xf numFmtId="10" fontId="6" fillId="3" borderId="14" xfId="2" applyNumberFormat="1" applyFont="1" applyFill="1" applyBorder="1" applyAlignment="1" applyProtection="1">
      <alignment horizontal="right" vertical="center" wrapText="1"/>
    </xf>
    <xf numFmtId="0" fontId="31" fillId="3" borderId="9" xfId="0" applyFont="1" applyFill="1" applyBorder="1" applyAlignment="1">
      <alignment vertical="center"/>
    </xf>
    <xf numFmtId="0" fontId="10" fillId="17" borderId="6" xfId="0" applyFont="1" applyFill="1" applyBorder="1" applyAlignment="1">
      <alignment vertical="top"/>
    </xf>
    <xf numFmtId="0" fontId="34" fillId="13" borderId="0" xfId="0" applyFont="1" applyFill="1" applyAlignment="1">
      <alignment horizontal="left"/>
    </xf>
    <xf numFmtId="4" fontId="5" fillId="0" borderId="9" xfId="2" applyNumberFormat="1" applyFont="1" applyBorder="1" applyAlignment="1">
      <alignment horizontal="center"/>
    </xf>
    <xf numFmtId="4" fontId="5" fillId="0" borderId="7" xfId="2" applyNumberFormat="1" applyFont="1" applyBorder="1" applyAlignment="1">
      <alignment horizontal="center"/>
    </xf>
    <xf numFmtId="0" fontId="5" fillId="0" borderId="12" xfId="2" applyFont="1" applyBorder="1"/>
    <xf numFmtId="4" fontId="6" fillId="0" borderId="6" xfId="2" applyNumberFormat="1" applyFont="1" applyBorder="1" applyAlignment="1">
      <alignment horizontal="center"/>
    </xf>
    <xf numFmtId="0" fontId="11" fillId="5" borderId="65" xfId="0" applyFont="1" applyFill="1" applyBorder="1" applyAlignment="1">
      <alignment horizontal="right"/>
    </xf>
    <xf numFmtId="0" fontId="22" fillId="13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9" fillId="9" borderId="0" xfId="0" applyFont="1" applyFill="1" applyAlignment="1">
      <alignment horizontal="left" vertical="distributed"/>
    </xf>
    <xf numFmtId="0" fontId="22" fillId="8" borderId="59" xfId="0" applyFont="1" applyFill="1" applyBorder="1" applyAlignment="1">
      <alignment horizontal="center" vertical="center" wrapText="1"/>
    </xf>
    <xf numFmtId="0" fontId="22" fillId="8" borderId="5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22" fillId="5" borderId="0" xfId="0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 wrapText="1"/>
    </xf>
    <xf numFmtId="0" fontId="11" fillId="10" borderId="67" xfId="0" applyFont="1" applyFill="1" applyBorder="1" applyAlignment="1">
      <alignment horizontal="center" vertical="center"/>
    </xf>
    <xf numFmtId="0" fontId="11" fillId="10" borderId="68" xfId="0" applyFont="1" applyFill="1" applyBorder="1" applyAlignment="1">
      <alignment horizontal="center" vertical="center"/>
    </xf>
    <xf numFmtId="0" fontId="11" fillId="10" borderId="58" xfId="0" applyFont="1" applyFill="1" applyBorder="1" applyAlignment="1">
      <alignment horizontal="center" vertical="center"/>
    </xf>
    <xf numFmtId="0" fontId="21" fillId="5" borderId="19" xfId="0" applyFont="1" applyFill="1" applyBorder="1" applyAlignment="1">
      <alignment horizontal="center" vertical="center"/>
    </xf>
    <xf numFmtId="0" fontId="21" fillId="5" borderId="21" xfId="0" applyFont="1" applyFill="1" applyBorder="1" applyAlignment="1">
      <alignment horizontal="center" vertical="center"/>
    </xf>
    <xf numFmtId="0" fontId="21" fillId="5" borderId="20" xfId="0" applyFont="1" applyFill="1" applyBorder="1" applyAlignment="1">
      <alignment horizontal="center" vertical="center"/>
    </xf>
    <xf numFmtId="44" fontId="22" fillId="8" borderId="34" xfId="0" applyNumberFormat="1" applyFont="1" applyFill="1" applyBorder="1" applyAlignment="1">
      <alignment horizontal="center" vertical="center" wrapText="1"/>
    </xf>
    <xf numFmtId="44" fontId="22" fillId="8" borderId="5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6" fillId="3" borderId="4" xfId="2" applyFont="1" applyFill="1" applyBorder="1" applyAlignment="1" applyProtection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</xf>
    <xf numFmtId="10" fontId="6" fillId="3" borderId="4" xfId="2" applyNumberFormat="1" applyFont="1" applyFill="1" applyBorder="1" applyAlignment="1" applyProtection="1">
      <alignment horizontal="center" vertical="center" wrapText="1"/>
    </xf>
    <xf numFmtId="10" fontId="6" fillId="3" borderId="6" xfId="2" applyNumberFormat="1" applyFont="1" applyFill="1" applyBorder="1" applyAlignment="1" applyProtection="1">
      <alignment horizontal="center" vertical="center" wrapText="1"/>
    </xf>
    <xf numFmtId="167" fontId="5" fillId="0" borderId="14" xfId="3" applyNumberFormat="1" applyFont="1" applyFill="1" applyBorder="1" applyAlignment="1" applyProtection="1">
      <alignment vertical="top"/>
    </xf>
    <xf numFmtId="0" fontId="6" fillId="0" borderId="4" xfId="2" applyFont="1" applyFill="1" applyBorder="1" applyAlignment="1" applyProtection="1">
      <alignment horizontal="center" vertical="center"/>
    </xf>
    <xf numFmtId="0" fontId="6" fillId="0" borderId="6" xfId="2" applyFont="1" applyFill="1" applyBorder="1" applyAlignment="1" applyProtection="1">
      <alignment horizontal="center" vertical="center"/>
    </xf>
    <xf numFmtId="0" fontId="5" fillId="0" borderId="4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10" fillId="0" borderId="45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9" fillId="0" borderId="46" xfId="0" applyFont="1" applyBorder="1" applyAlignment="1">
      <alignment horizontal="left"/>
    </xf>
    <xf numFmtId="0" fontId="9" fillId="0" borderId="27" xfId="0" applyFont="1" applyBorder="1" applyAlignment="1">
      <alignment horizontal="left"/>
    </xf>
    <xf numFmtId="0" fontId="9" fillId="0" borderId="47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35" xfId="0" applyFont="1" applyBorder="1" applyAlignment="1">
      <alignment horizontal="left"/>
    </xf>
    <xf numFmtId="0" fontId="9" fillId="0" borderId="37" xfId="0" applyFont="1" applyBorder="1" applyAlignment="1">
      <alignment horizontal="left"/>
    </xf>
    <xf numFmtId="0" fontId="9" fillId="0" borderId="48" xfId="0" applyFont="1" applyBorder="1" applyAlignment="1">
      <alignment horizontal="left"/>
    </xf>
    <xf numFmtId="0" fontId="9" fillId="0" borderId="19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4" xfId="0" applyFont="1" applyBorder="1" applyAlignment="1">
      <alignment horizontal="left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5" fillId="0" borderId="4" xfId="2" applyFont="1" applyBorder="1" applyAlignment="1" applyProtection="1">
      <alignment horizontal="center" vertical="top"/>
    </xf>
    <xf numFmtId="0" fontId="5" fillId="0" borderId="6" xfId="2" applyFont="1" applyBorder="1" applyAlignment="1" applyProtection="1">
      <alignment horizontal="center" vertical="top"/>
    </xf>
    <xf numFmtId="0" fontId="10" fillId="0" borderId="40" xfId="0" applyFont="1" applyBorder="1" applyAlignment="1">
      <alignment horizontal="center"/>
    </xf>
    <xf numFmtId="0" fontId="10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19" xfId="0" applyFont="1" applyFill="1" applyBorder="1" applyAlignment="1">
      <alignment horizontal="center" wrapText="1"/>
    </xf>
    <xf numFmtId="0" fontId="10" fillId="0" borderId="20" xfId="0" applyFont="1" applyFill="1" applyBorder="1" applyAlignment="1">
      <alignment horizontal="center" wrapText="1"/>
    </xf>
    <xf numFmtId="0" fontId="9" fillId="0" borderId="15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23" xfId="0" applyFont="1" applyBorder="1" applyAlignment="1">
      <alignment horizontal="left"/>
    </xf>
    <xf numFmtId="0" fontId="9" fillId="0" borderId="24" xfId="0" applyFont="1" applyBorder="1" applyAlignment="1">
      <alignment horizontal="left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5" xfId="0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14" xfId="0" applyFont="1" applyBorder="1"/>
    <xf numFmtId="0" fontId="10" fillId="17" borderId="4" xfId="0" applyFont="1" applyFill="1" applyBorder="1" applyAlignment="1">
      <alignment horizontal="center"/>
    </xf>
    <xf numFmtId="0" fontId="10" fillId="17" borderId="5" xfId="0" applyFont="1" applyFill="1" applyBorder="1" applyAlignment="1">
      <alignment horizontal="center"/>
    </xf>
    <xf numFmtId="0" fontId="10" fillId="17" borderId="6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33" fillId="0" borderId="8" xfId="0" applyFont="1" applyFill="1" applyBorder="1" applyAlignment="1">
      <alignment horizontal="left" vertical="center"/>
    </xf>
    <xf numFmtId="0" fontId="33" fillId="0" borderId="7" xfId="0" applyFont="1" applyFill="1" applyBorder="1" applyAlignment="1">
      <alignment horizontal="left" vertical="center"/>
    </xf>
    <xf numFmtId="0" fontId="33" fillId="0" borderId="9" xfId="0" applyFont="1" applyFill="1" applyBorder="1" applyAlignment="1">
      <alignment horizontal="left" vertical="center"/>
    </xf>
    <xf numFmtId="0" fontId="33" fillId="0" borderId="96" xfId="0" applyFont="1" applyFill="1" applyBorder="1" applyAlignment="1">
      <alignment horizontal="left" vertical="center"/>
    </xf>
    <xf numFmtId="0" fontId="33" fillId="0" borderId="97" xfId="0" applyFont="1" applyFill="1" applyBorder="1" applyAlignment="1">
      <alignment horizontal="left" vertical="center"/>
    </xf>
    <xf numFmtId="0" fontId="31" fillId="3" borderId="16" xfId="0" applyFont="1" applyFill="1" applyBorder="1" applyAlignment="1">
      <alignment horizontal="center" vertical="center"/>
    </xf>
    <xf numFmtId="0" fontId="31" fillId="3" borderId="7" xfId="0" applyFont="1" applyFill="1" applyBorder="1" applyAlignment="1">
      <alignment horizontal="center" vertical="center"/>
    </xf>
    <xf numFmtId="0" fontId="31" fillId="3" borderId="9" xfId="0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17" borderId="14" xfId="0" applyFont="1" applyFill="1" applyBorder="1" applyAlignment="1">
      <alignment horizontal="center"/>
    </xf>
    <xf numFmtId="0" fontId="9" fillId="0" borderId="4" xfId="0" applyFont="1" applyBorder="1" applyAlignment="1">
      <alignment horizontal="left" vertical="justify"/>
    </xf>
    <xf numFmtId="0" fontId="9" fillId="0" borderId="5" xfId="0" applyFont="1" applyBorder="1" applyAlignment="1">
      <alignment horizontal="left" vertical="justify"/>
    </xf>
    <xf numFmtId="0" fontId="9" fillId="0" borderId="6" xfId="0" applyFont="1" applyBorder="1" applyAlignment="1">
      <alignment horizontal="left" vertical="justify"/>
    </xf>
    <xf numFmtId="0" fontId="10" fillId="6" borderId="18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15" borderId="14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left" vertical="distributed"/>
    </xf>
    <xf numFmtId="0" fontId="9" fillId="5" borderId="5" xfId="0" applyFont="1" applyFill="1" applyBorder="1" applyAlignment="1">
      <alignment horizontal="left" vertical="distributed"/>
    </xf>
    <xf numFmtId="0" fontId="9" fillId="5" borderId="6" xfId="0" applyFont="1" applyFill="1" applyBorder="1" applyAlignment="1">
      <alignment horizontal="left" vertical="distributed"/>
    </xf>
    <xf numFmtId="0" fontId="9" fillId="5" borderId="14" xfId="0" applyFont="1" applyFill="1" applyBorder="1" applyAlignment="1">
      <alignment horizontal="left"/>
    </xf>
    <xf numFmtId="0" fontId="10" fillId="6" borderId="17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15" borderId="4" xfId="0" applyFont="1" applyFill="1" applyBorder="1" applyAlignment="1">
      <alignment horizontal="center" vertical="top" wrapText="1"/>
    </xf>
    <xf numFmtId="0" fontId="10" fillId="15" borderId="5" xfId="0" applyFont="1" applyFill="1" applyBorder="1" applyAlignment="1">
      <alignment horizontal="center" vertical="top"/>
    </xf>
    <xf numFmtId="0" fontId="10" fillId="15" borderId="6" xfId="0" applyFont="1" applyFill="1" applyBorder="1" applyAlignment="1">
      <alignment horizontal="center" vertical="top"/>
    </xf>
    <xf numFmtId="0" fontId="10" fillId="5" borderId="4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left"/>
    </xf>
    <xf numFmtId="0" fontId="9" fillId="5" borderId="5" xfId="0" applyFont="1" applyFill="1" applyBorder="1" applyAlignment="1">
      <alignment horizontal="left"/>
    </xf>
    <xf numFmtId="0" fontId="9" fillId="5" borderId="6" xfId="0" applyFont="1" applyFill="1" applyBorder="1" applyAlignment="1">
      <alignment horizontal="left"/>
    </xf>
    <xf numFmtId="0" fontId="10" fillId="5" borderId="88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89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left" wrapText="1"/>
    </xf>
    <xf numFmtId="0" fontId="13" fillId="5" borderId="5" xfId="0" applyFont="1" applyFill="1" applyBorder="1" applyAlignment="1">
      <alignment horizontal="left"/>
    </xf>
    <xf numFmtId="0" fontId="13" fillId="5" borderId="6" xfId="0" applyFont="1" applyFill="1" applyBorder="1" applyAlignment="1">
      <alignment horizontal="left"/>
    </xf>
    <xf numFmtId="0" fontId="10" fillId="5" borderId="14" xfId="0" applyFont="1" applyFill="1" applyBorder="1" applyAlignment="1">
      <alignment horizontal="center"/>
    </xf>
    <xf numFmtId="0" fontId="10" fillId="17" borderId="4" xfId="0" applyFont="1" applyFill="1" applyBorder="1" applyAlignment="1">
      <alignment horizontal="center" vertical="top"/>
    </xf>
    <xf numFmtId="0" fontId="10" fillId="17" borderId="5" xfId="0" applyFont="1" applyFill="1" applyBorder="1" applyAlignment="1">
      <alignment horizontal="center" vertical="top"/>
    </xf>
    <xf numFmtId="0" fontId="10" fillId="6" borderId="4" xfId="0" applyFont="1" applyFill="1" applyBorder="1" applyAlignment="1">
      <alignment horizontal="center" vertical="top"/>
    </xf>
    <xf numFmtId="0" fontId="10" fillId="6" borderId="5" xfId="0" applyFont="1" applyFill="1" applyBorder="1" applyAlignment="1">
      <alignment horizontal="center" vertical="top"/>
    </xf>
    <xf numFmtId="0" fontId="10" fillId="6" borderId="6" xfId="0" applyFont="1" applyFill="1" applyBorder="1" applyAlignment="1">
      <alignment horizontal="center" vertical="top"/>
    </xf>
    <xf numFmtId="0" fontId="13" fillId="0" borderId="88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89" xfId="0" applyFont="1" applyFill="1" applyBorder="1" applyAlignment="1">
      <alignment horizontal="left" vertical="center" wrapText="1"/>
    </xf>
    <xf numFmtId="0" fontId="10" fillId="16" borderId="14" xfId="0" applyFont="1" applyFill="1" applyBorder="1" applyAlignment="1">
      <alignment horizontal="center"/>
    </xf>
    <xf numFmtId="0" fontId="10" fillId="0" borderId="14" xfId="0" applyFont="1" applyBorder="1" applyAlignment="1">
      <alignment horizontal="left"/>
    </xf>
    <xf numFmtId="0" fontId="10" fillId="6" borderId="15" xfId="0" applyFont="1" applyFill="1" applyBorder="1" applyAlignment="1">
      <alignment horizontal="center"/>
    </xf>
    <xf numFmtId="0" fontId="10" fillId="6" borderId="12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left" vertical="distributed" wrapText="1"/>
    </xf>
    <xf numFmtId="0" fontId="10" fillId="0" borderId="80" xfId="0" applyFont="1" applyBorder="1" applyAlignment="1">
      <alignment horizontal="center"/>
    </xf>
    <xf numFmtId="0" fontId="10" fillId="16" borderId="85" xfId="0" applyFont="1" applyFill="1" applyBorder="1" applyAlignment="1">
      <alignment horizontal="center" vertical="center" wrapText="1"/>
    </xf>
    <xf numFmtId="0" fontId="10" fillId="16" borderId="86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4" fillId="0" borderId="7" xfId="0" applyFont="1" applyBorder="1" applyAlignment="1">
      <alignment horizontal="left"/>
    </xf>
    <xf numFmtId="0" fontId="9" fillId="0" borderId="53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9" fillId="0" borderId="3" xfId="0" applyFont="1" applyBorder="1" applyAlignment="1">
      <alignment horizontal="left"/>
    </xf>
    <xf numFmtId="0" fontId="10" fillId="3" borderId="14" xfId="0" applyFont="1" applyFill="1" applyBorder="1" applyAlignment="1">
      <alignment horizontal="center"/>
    </xf>
    <xf numFmtId="0" fontId="9" fillId="0" borderId="77" xfId="0" applyFont="1" applyFill="1" applyBorder="1" applyAlignment="1">
      <alignment horizontal="left" vertical="center" wrapText="1"/>
    </xf>
    <xf numFmtId="0" fontId="9" fillId="0" borderId="78" xfId="0" applyFont="1" applyFill="1" applyBorder="1" applyAlignment="1">
      <alignment horizontal="left" vertical="center" wrapText="1"/>
    </xf>
    <xf numFmtId="0" fontId="9" fillId="0" borderId="79" xfId="0" applyFont="1" applyFill="1" applyBorder="1" applyAlignment="1">
      <alignment horizontal="left" vertical="center" wrapText="1"/>
    </xf>
    <xf numFmtId="0" fontId="10" fillId="0" borderId="19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31" fillId="3" borderId="18" xfId="0" applyFont="1" applyFill="1" applyBorder="1" applyAlignment="1">
      <alignment horizontal="center" vertical="center"/>
    </xf>
    <xf numFmtId="0" fontId="31" fillId="3" borderId="3" xfId="0" applyFont="1" applyFill="1" applyBorder="1" applyAlignment="1">
      <alignment horizontal="center" vertical="center"/>
    </xf>
    <xf numFmtId="0" fontId="31" fillId="3" borderId="13" xfId="0" applyFont="1" applyFill="1" applyBorder="1" applyAlignment="1">
      <alignment horizontal="center" vertical="center"/>
    </xf>
    <xf numFmtId="0" fontId="32" fillId="0" borderId="90" xfId="0" applyFont="1" applyFill="1" applyBorder="1" applyAlignment="1">
      <alignment horizontal="center" vertical="center"/>
    </xf>
    <xf numFmtId="0" fontId="32" fillId="0" borderId="98" xfId="0" applyFont="1" applyFill="1" applyBorder="1" applyAlignment="1">
      <alignment horizontal="center" vertical="center"/>
    </xf>
    <xf numFmtId="10" fontId="32" fillId="0" borderId="90" xfId="22" applyNumberFormat="1" applyFont="1" applyFill="1" applyBorder="1" applyAlignment="1">
      <alignment horizontal="center" vertical="center"/>
    </xf>
    <xf numFmtId="10" fontId="32" fillId="0" borderId="99" xfId="22" applyNumberFormat="1" applyFont="1" applyFill="1" applyBorder="1" applyAlignment="1">
      <alignment horizontal="center" vertical="center"/>
    </xf>
    <xf numFmtId="0" fontId="32" fillId="0" borderId="92" xfId="0" applyFont="1" applyFill="1" applyBorder="1" applyAlignment="1">
      <alignment vertical="center"/>
    </xf>
    <xf numFmtId="0" fontId="33" fillId="0" borderId="92" xfId="0" applyFont="1" applyFill="1" applyBorder="1" applyAlignment="1">
      <alignment vertical="center"/>
    </xf>
    <xf numFmtId="0" fontId="33" fillId="0" borderId="12" xfId="0" applyFont="1" applyFill="1" applyBorder="1" applyAlignment="1">
      <alignment horizontal="left" vertical="center"/>
    </xf>
    <xf numFmtId="0" fontId="33" fillId="0" borderId="3" xfId="0" applyFont="1" applyFill="1" applyBorder="1" applyAlignment="1">
      <alignment horizontal="left" vertical="center"/>
    </xf>
    <xf numFmtId="0" fontId="33" fillId="0" borderId="92" xfId="0" applyFont="1" applyFill="1" applyBorder="1" applyAlignment="1">
      <alignment horizontal="left" vertical="center"/>
    </xf>
    <xf numFmtId="0" fontId="33" fillId="0" borderId="95" xfId="0" applyFont="1" applyFill="1" applyBorder="1" applyAlignment="1">
      <alignment horizontal="left" vertical="center"/>
    </xf>
    <xf numFmtId="2" fontId="9" fillId="0" borderId="100" xfId="0" applyNumberFormat="1" applyFont="1" applyFill="1" applyBorder="1" applyAlignment="1">
      <alignment horizontal="center" vertical="center"/>
    </xf>
    <xf numFmtId="2" fontId="9" fillId="0" borderId="101" xfId="0" applyNumberFormat="1" applyFont="1" applyFill="1" applyBorder="1" applyAlignment="1">
      <alignment horizontal="center" vertical="center"/>
    </xf>
    <xf numFmtId="2" fontId="9" fillId="0" borderId="102" xfId="0" applyNumberFormat="1" applyFont="1" applyFill="1" applyBorder="1" applyAlignment="1">
      <alignment horizontal="center" vertical="center"/>
    </xf>
    <xf numFmtId="0" fontId="32" fillId="0" borderId="96" xfId="0" applyFont="1" applyFill="1" applyBorder="1" applyAlignment="1">
      <alignment horizontal="left" vertical="center"/>
    </xf>
    <xf numFmtId="0" fontId="32" fillId="0" borderId="7" xfId="0" applyFont="1" applyFill="1" applyBorder="1" applyAlignment="1">
      <alignment horizontal="left" vertical="center"/>
    </xf>
    <xf numFmtId="0" fontId="32" fillId="0" borderId="97" xfId="0" applyFont="1" applyFill="1" applyBorder="1" applyAlignment="1">
      <alignment horizontal="left" vertical="center"/>
    </xf>
    <xf numFmtId="0" fontId="33" fillId="0" borderId="93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0" fontId="33" fillId="0" borderId="94" xfId="0" applyFont="1" applyFill="1" applyBorder="1" applyAlignment="1">
      <alignment horizontal="left" vertical="center"/>
    </xf>
    <xf numFmtId="0" fontId="10" fillId="0" borderId="3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13" borderId="3" xfId="0" applyFont="1" applyFill="1" applyBorder="1" applyAlignment="1">
      <alignment horizontal="left"/>
    </xf>
    <xf numFmtId="0" fontId="10" fillId="15" borderId="4" xfId="0" applyFont="1" applyFill="1" applyBorder="1" applyAlignment="1">
      <alignment horizontal="center"/>
    </xf>
    <xf numFmtId="0" fontId="10" fillId="15" borderId="5" xfId="0" applyFont="1" applyFill="1" applyBorder="1" applyAlignment="1">
      <alignment horizontal="center"/>
    </xf>
    <xf numFmtId="0" fontId="10" fillId="15" borderId="6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left" vertical="distributed" wrapText="1"/>
    </xf>
    <xf numFmtId="0" fontId="9" fillId="5" borderId="6" xfId="0" applyFont="1" applyFill="1" applyBorder="1" applyAlignment="1">
      <alignment horizontal="left" vertical="distributed" wrapText="1"/>
    </xf>
    <xf numFmtId="0" fontId="10" fillId="15" borderId="85" xfId="0" applyFont="1" applyFill="1" applyBorder="1" applyAlignment="1">
      <alignment horizontal="center" vertical="center" wrapText="1"/>
    </xf>
    <xf numFmtId="0" fontId="10" fillId="15" borderId="86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88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89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10" fillId="17" borderId="17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left" wrapText="1"/>
    </xf>
    <xf numFmtId="0" fontId="10" fillId="15" borderId="5" xfId="0" applyFont="1" applyFill="1" applyBorder="1" applyAlignment="1">
      <alignment horizontal="center" vertical="top" wrapText="1"/>
    </xf>
    <xf numFmtId="0" fontId="10" fillId="15" borderId="6" xfId="0" applyFont="1" applyFill="1" applyBorder="1" applyAlignment="1">
      <alignment horizontal="center" vertical="top" wrapText="1"/>
    </xf>
    <xf numFmtId="0" fontId="32" fillId="0" borderId="93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0" borderId="94" xfId="0" applyFont="1" applyFill="1" applyBorder="1" applyAlignment="1">
      <alignment vertical="center"/>
    </xf>
    <xf numFmtId="0" fontId="33" fillId="0" borderId="93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3" fillId="0" borderId="94" xfId="0" applyFont="1" applyFill="1" applyBorder="1" applyAlignment="1">
      <alignment vertical="center"/>
    </xf>
    <xf numFmtId="0" fontId="33" fillId="0" borderId="108" xfId="0" applyFont="1" applyFill="1" applyBorder="1" applyAlignment="1">
      <alignment vertical="center"/>
    </xf>
    <xf numFmtId="0" fontId="33" fillId="0" borderId="3" xfId="0" applyFont="1" applyFill="1" applyBorder="1" applyAlignment="1">
      <alignment vertical="center"/>
    </xf>
    <xf numFmtId="0" fontId="33" fillId="0" borderId="109" xfId="0" applyFont="1" applyFill="1" applyBorder="1" applyAlignment="1">
      <alignment vertical="center"/>
    </xf>
    <xf numFmtId="0" fontId="33" fillId="0" borderId="13" xfId="0" applyFont="1" applyFill="1" applyBorder="1" applyAlignment="1">
      <alignment horizontal="left" vertical="center"/>
    </xf>
    <xf numFmtId="0" fontId="10" fillId="3" borderId="19" xfId="0" applyFont="1" applyFill="1" applyBorder="1" applyAlignment="1">
      <alignment horizontal="center" wrapText="1"/>
    </xf>
    <xf numFmtId="0" fontId="10" fillId="3" borderId="20" xfId="0" applyFont="1" applyFill="1" applyBorder="1" applyAlignment="1">
      <alignment horizontal="center" wrapText="1"/>
    </xf>
    <xf numFmtId="0" fontId="33" fillId="0" borderId="105" xfId="0" applyFont="1" applyFill="1" applyBorder="1" applyAlignment="1">
      <alignment horizontal="left" vertical="center"/>
    </xf>
    <xf numFmtId="0" fontId="33" fillId="0" borderId="106" xfId="0" applyFont="1" applyFill="1" applyBorder="1" applyAlignment="1">
      <alignment horizontal="left" vertical="center"/>
    </xf>
    <xf numFmtId="0" fontId="33" fillId="0" borderId="107" xfId="0" applyFont="1" applyFill="1" applyBorder="1" applyAlignment="1">
      <alignment horizontal="left" vertical="center"/>
    </xf>
    <xf numFmtId="0" fontId="10" fillId="0" borderId="49" xfId="0" applyFont="1" applyBorder="1" applyAlignment="1">
      <alignment horizontal="center"/>
    </xf>
    <xf numFmtId="44" fontId="9" fillId="0" borderId="19" xfId="0" applyNumberFormat="1" applyFont="1" applyBorder="1" applyAlignment="1">
      <alignment horizontal="center"/>
    </xf>
    <xf numFmtId="44" fontId="9" fillId="0" borderId="20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103" xfId="0" applyFont="1" applyBorder="1" applyAlignment="1">
      <alignment horizontal="center"/>
    </xf>
    <xf numFmtId="44" fontId="9" fillId="0" borderId="19" xfId="0" applyNumberFormat="1" applyFont="1" applyBorder="1" applyAlignment="1">
      <alignment horizontal="left"/>
    </xf>
    <xf numFmtId="44" fontId="9" fillId="0" borderId="20" xfId="0" applyNumberFormat="1" applyFont="1" applyBorder="1" applyAlignment="1">
      <alignment horizontal="left"/>
    </xf>
    <xf numFmtId="0" fontId="9" fillId="0" borderId="82" xfId="0" applyFont="1" applyBorder="1" applyAlignment="1">
      <alignment horizontal="center"/>
    </xf>
    <xf numFmtId="0" fontId="6" fillId="0" borderId="4" xfId="2" applyFont="1" applyBorder="1" applyAlignment="1" applyProtection="1">
      <alignment horizontal="center" vertical="top" wrapText="1"/>
    </xf>
    <xf numFmtId="0" fontId="6" fillId="0" borderId="5" xfId="2" applyFont="1" applyBorder="1" applyAlignment="1" applyProtection="1">
      <alignment horizontal="center" vertical="top" wrapText="1"/>
    </xf>
    <xf numFmtId="0" fontId="6" fillId="0" borderId="6" xfId="2" applyFont="1" applyBorder="1" applyAlignment="1" applyProtection="1">
      <alignment horizontal="center" vertical="top" wrapText="1"/>
    </xf>
    <xf numFmtId="0" fontId="5" fillId="0" borderId="4" xfId="2" applyFont="1" applyBorder="1"/>
    <xf numFmtId="0" fontId="5" fillId="0" borderId="5" xfId="2" applyFont="1" applyBorder="1"/>
    <xf numFmtId="4" fontId="5" fillId="0" borderId="4" xfId="2" applyNumberFormat="1" applyFont="1" applyBorder="1" applyAlignment="1">
      <alignment horizontal="center"/>
    </xf>
    <xf numFmtId="4" fontId="5" fillId="0" borderId="6" xfId="2" applyNumberFormat="1" applyFont="1" applyBorder="1" applyAlignment="1">
      <alignment horizontal="center"/>
    </xf>
    <xf numFmtId="0" fontId="5" fillId="0" borderId="12" xfId="2" applyFont="1" applyBorder="1"/>
    <xf numFmtId="0" fontId="5" fillId="0" borderId="3" xfId="2" applyFont="1" applyBorder="1"/>
    <xf numFmtId="4" fontId="5" fillId="0" borderId="12" xfId="2" applyNumberFormat="1" applyFont="1" applyBorder="1" applyAlignment="1">
      <alignment horizontal="center"/>
    </xf>
    <xf numFmtId="4" fontId="5" fillId="0" borderId="13" xfId="2" applyNumberFormat="1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10" fontId="6" fillId="0" borderId="4" xfId="2" applyNumberFormat="1" applyFont="1" applyFill="1" applyBorder="1" applyAlignment="1" applyProtection="1">
      <alignment horizontal="center" vertical="center" wrapText="1"/>
    </xf>
    <xf numFmtId="10" fontId="6" fillId="0" borderId="6" xfId="2" applyNumberFormat="1" applyFont="1" applyFill="1" applyBorder="1" applyAlignment="1" applyProtection="1">
      <alignment horizontal="center" vertical="center" wrapText="1"/>
    </xf>
    <xf numFmtId="4" fontId="6" fillId="0" borderId="4" xfId="2" applyNumberFormat="1" applyFont="1" applyBorder="1" applyAlignment="1">
      <alignment horizontal="center"/>
    </xf>
    <xf numFmtId="4" fontId="6" fillId="0" borderId="6" xfId="2" applyNumberFormat="1" applyFont="1" applyBorder="1" applyAlignment="1">
      <alignment horizontal="center"/>
    </xf>
    <xf numFmtId="0" fontId="5" fillId="0" borderId="4" xfId="2" applyFont="1" applyBorder="1" applyAlignment="1" applyProtection="1">
      <alignment horizontal="left" vertical="top"/>
    </xf>
    <xf numFmtId="0" fontId="5" fillId="0" borderId="6" xfId="2" applyFont="1" applyBorder="1" applyAlignment="1" applyProtection="1">
      <alignment horizontal="left" vertical="top"/>
    </xf>
    <xf numFmtId="0" fontId="5" fillId="0" borderId="5" xfId="2" applyFont="1" applyBorder="1" applyAlignment="1">
      <alignment horizontal="center"/>
    </xf>
    <xf numFmtId="0" fontId="6" fillId="3" borderId="4" xfId="2" applyFont="1" applyFill="1" applyBorder="1" applyAlignment="1">
      <alignment horizontal="center"/>
    </xf>
    <xf numFmtId="0" fontId="6" fillId="3" borderId="5" xfId="2" applyFont="1" applyFill="1" applyBorder="1" applyAlignment="1">
      <alignment horizontal="center"/>
    </xf>
    <xf numFmtId="0" fontId="6" fillId="3" borderId="6" xfId="2" applyFont="1" applyFill="1" applyBorder="1" applyAlignment="1">
      <alignment horizontal="center"/>
    </xf>
    <xf numFmtId="0" fontId="6" fillId="0" borderId="8" xfId="2" applyFont="1" applyBorder="1"/>
    <xf numFmtId="0" fontId="6" fillId="0" borderId="7" xfId="2" applyFont="1" applyBorder="1"/>
    <xf numFmtId="0" fontId="6" fillId="0" borderId="4" xfId="2" applyFont="1" applyBorder="1" applyAlignment="1">
      <alignment horizontal="center" wrapText="1"/>
    </xf>
    <xf numFmtId="0" fontId="6" fillId="0" borderId="6" xfId="2" applyFont="1" applyBorder="1" applyAlignment="1">
      <alignment horizontal="center" wrapText="1"/>
    </xf>
    <xf numFmtId="0" fontId="5" fillId="0" borderId="10" xfId="2" applyFont="1" applyBorder="1"/>
    <xf numFmtId="0" fontId="5" fillId="0" borderId="0" xfId="2" applyFont="1" applyBorder="1"/>
    <xf numFmtId="4" fontId="5" fillId="0" borderId="8" xfId="2" applyNumberFormat="1" applyFont="1" applyBorder="1" applyAlignment="1">
      <alignment horizontal="center"/>
    </xf>
    <xf numFmtId="4" fontId="5" fillId="0" borderId="9" xfId="2" applyNumberFormat="1" applyFont="1" applyBorder="1" applyAlignment="1">
      <alignment horizontal="center"/>
    </xf>
    <xf numFmtId="4" fontId="5" fillId="0" borderId="7" xfId="2" applyNumberFormat="1" applyFont="1" applyBorder="1" applyAlignment="1">
      <alignment horizontal="center"/>
    </xf>
    <xf numFmtId="0" fontId="6" fillId="0" borderId="51" xfId="2" applyFont="1" applyBorder="1" applyAlignment="1">
      <alignment horizontal="center"/>
    </xf>
    <xf numFmtId="0" fontId="6" fillId="0" borderId="37" xfId="2" applyFont="1" applyBorder="1" applyAlignment="1">
      <alignment horizontal="center"/>
    </xf>
    <xf numFmtId="0" fontId="6" fillId="0" borderId="48" xfId="2" applyFont="1" applyBorder="1" applyAlignment="1">
      <alignment horizontal="center"/>
    </xf>
    <xf numFmtId="0" fontId="4" fillId="0" borderId="0" xfId="2" applyFont="1" applyBorder="1" applyAlignment="1" applyProtection="1">
      <alignment horizontal="center" vertical="center"/>
    </xf>
    <xf numFmtId="0" fontId="42" fillId="13" borderId="3" xfId="2" applyFont="1" applyFill="1" applyBorder="1" applyAlignment="1" applyProtection="1">
      <alignment horizontal="left" vertical="center"/>
    </xf>
    <xf numFmtId="0" fontId="4" fillId="0" borderId="0" xfId="17" applyFont="1" applyBorder="1" applyAlignment="1" applyProtection="1">
      <alignment horizontal="center" vertical="center"/>
    </xf>
    <xf numFmtId="0" fontId="6" fillId="0" borderId="0" xfId="17" applyFont="1" applyBorder="1" applyAlignment="1" applyProtection="1">
      <alignment horizontal="center" vertical="center"/>
    </xf>
    <xf numFmtId="167" fontId="6" fillId="0" borderId="5" xfId="18" applyNumberFormat="1" applyFont="1" applyFill="1" applyBorder="1" applyAlignment="1" applyProtection="1">
      <alignment horizontal="center" vertical="center"/>
    </xf>
    <xf numFmtId="167" fontId="6" fillId="0" borderId="6" xfId="18" applyNumberFormat="1" applyFont="1" applyFill="1" applyBorder="1" applyAlignment="1" applyProtection="1">
      <alignment horizontal="center" vertical="center"/>
    </xf>
    <xf numFmtId="0" fontId="6" fillId="0" borderId="4" xfId="17" applyFont="1" applyFill="1" applyBorder="1" applyAlignment="1" applyProtection="1">
      <alignment horizontal="left" vertical="center" wrapText="1"/>
    </xf>
    <xf numFmtId="0" fontId="6" fillId="0" borderId="5" xfId="17" applyFont="1" applyFill="1" applyBorder="1" applyAlignment="1" applyProtection="1">
      <alignment horizontal="left" vertical="center" wrapText="1"/>
    </xf>
    <xf numFmtId="0" fontId="5" fillId="0" borderId="5" xfId="17" applyFont="1" applyBorder="1" applyAlignment="1" applyProtection="1">
      <alignment horizontal="center" vertical="center"/>
    </xf>
    <xf numFmtId="0" fontId="6" fillId="0" borderId="5" xfId="17" applyFont="1" applyBorder="1" applyAlignment="1" applyProtection="1">
      <alignment horizontal="center" vertical="center"/>
    </xf>
    <xf numFmtId="0" fontId="6" fillId="0" borderId="6" xfId="17" applyFont="1" applyFill="1" applyBorder="1" applyAlignment="1" applyProtection="1">
      <alignment horizontal="left" vertical="center" wrapText="1"/>
    </xf>
    <xf numFmtId="4" fontId="17" fillId="5" borderId="14" xfId="10" applyNumberFormat="1" applyFont="1" applyFill="1" applyBorder="1" applyAlignment="1">
      <alignment horizontal="center"/>
    </xf>
    <xf numFmtId="0" fontId="17" fillId="5" borderId="14" xfId="10" applyFont="1" applyFill="1" applyBorder="1" applyAlignment="1">
      <alignment horizontal="center"/>
    </xf>
    <xf numFmtId="0" fontId="15" fillId="5" borderId="51" xfId="10" applyFont="1" applyFill="1" applyBorder="1" applyAlignment="1">
      <alignment horizontal="center"/>
    </xf>
    <xf numFmtId="0" fontId="15" fillId="5" borderId="37" xfId="10" applyFont="1" applyFill="1" applyBorder="1" applyAlignment="1">
      <alignment horizontal="center"/>
    </xf>
    <xf numFmtId="0" fontId="15" fillId="5" borderId="48" xfId="10" applyFont="1" applyFill="1" applyBorder="1" applyAlignment="1">
      <alignment horizontal="center"/>
    </xf>
    <xf numFmtId="4" fontId="17" fillId="5" borderId="52" xfId="10" applyNumberFormat="1" applyFont="1" applyFill="1" applyBorder="1" applyAlignment="1">
      <alignment horizontal="center"/>
    </xf>
    <xf numFmtId="0" fontId="17" fillId="5" borderId="52" xfId="10" applyFont="1" applyFill="1" applyBorder="1" applyAlignment="1">
      <alignment horizontal="center"/>
    </xf>
    <xf numFmtId="0" fontId="15" fillId="5" borderId="2" xfId="10" applyFont="1" applyFill="1" applyBorder="1" applyAlignment="1">
      <alignment horizontal="center"/>
    </xf>
    <xf numFmtId="0" fontId="15" fillId="2" borderId="50" xfId="10" applyFont="1" applyFill="1" applyBorder="1" applyAlignment="1">
      <alignment horizontal="center" wrapText="1"/>
    </xf>
    <xf numFmtId="49" fontId="21" fillId="5" borderId="14" xfId="17" applyNumberFormat="1" applyFont="1" applyFill="1" applyBorder="1" applyAlignment="1">
      <alignment horizontal="center" vertical="center" wrapText="1"/>
    </xf>
    <xf numFmtId="49" fontId="21" fillId="5" borderId="4" xfId="17" applyNumberFormat="1" applyFont="1" applyFill="1" applyBorder="1" applyAlignment="1">
      <alignment horizontal="center" vertical="center" wrapText="1"/>
    </xf>
    <xf numFmtId="49" fontId="21" fillId="5" borderId="5" xfId="17" applyNumberFormat="1" applyFont="1" applyFill="1" applyBorder="1" applyAlignment="1">
      <alignment horizontal="center" vertical="center" wrapText="1"/>
    </xf>
    <xf numFmtId="49" fontId="21" fillId="5" borderId="6" xfId="17" applyNumberFormat="1" applyFont="1" applyFill="1" applyBorder="1" applyAlignment="1">
      <alignment horizontal="center" vertical="center" wrapText="1"/>
    </xf>
    <xf numFmtId="0" fontId="21" fillId="11" borderId="14" xfId="17" applyFont="1" applyFill="1" applyBorder="1" applyAlignment="1" applyProtection="1">
      <alignment horizontal="center"/>
    </xf>
    <xf numFmtId="0" fontId="21" fillId="5" borderId="0" xfId="17" applyFont="1" applyFill="1" applyAlignment="1">
      <alignment horizontal="center"/>
    </xf>
    <xf numFmtId="0" fontId="21" fillId="11" borderId="0" xfId="17" applyFont="1" applyFill="1" applyAlignment="1">
      <alignment horizontal="center"/>
    </xf>
    <xf numFmtId="0" fontId="21" fillId="5" borderId="14" xfId="17" applyFont="1" applyFill="1" applyBorder="1" applyAlignment="1">
      <alignment horizontal="center" vertical="center"/>
    </xf>
    <xf numFmtId="169" fontId="21" fillId="5" borderId="14" xfId="6" applyFont="1" applyFill="1" applyBorder="1" applyAlignment="1">
      <alignment horizontal="center" vertical="center"/>
    </xf>
    <xf numFmtId="0" fontId="21" fillId="5" borderId="8" xfId="17" applyFont="1" applyFill="1" applyBorder="1" applyAlignment="1">
      <alignment horizontal="justify" vertical="justify" wrapText="1"/>
    </xf>
    <xf numFmtId="0" fontId="21" fillId="5" borderId="7" xfId="17" applyFont="1" applyFill="1" applyBorder="1" applyAlignment="1">
      <alignment horizontal="justify" vertical="justify"/>
    </xf>
    <xf numFmtId="0" fontId="21" fillId="5" borderId="9" xfId="17" applyFont="1" applyFill="1" applyBorder="1" applyAlignment="1">
      <alignment horizontal="justify" vertical="justify"/>
    </xf>
    <xf numFmtId="0" fontId="21" fillId="5" borderId="12" xfId="17" applyFont="1" applyFill="1" applyBorder="1" applyAlignment="1">
      <alignment horizontal="justify" vertical="justify"/>
    </xf>
    <xf numFmtId="0" fontId="21" fillId="5" borderId="3" xfId="17" applyFont="1" applyFill="1" applyBorder="1" applyAlignment="1">
      <alignment horizontal="justify" vertical="justify"/>
    </xf>
    <xf numFmtId="0" fontId="21" fillId="5" borderId="13" xfId="17" applyFont="1" applyFill="1" applyBorder="1" applyAlignment="1">
      <alignment horizontal="justify" vertical="justify"/>
    </xf>
    <xf numFmtId="0" fontId="21" fillId="5" borderId="0" xfId="17" applyFont="1" applyFill="1" applyAlignment="1">
      <alignment horizontal="left" wrapText="1"/>
    </xf>
    <xf numFmtId="0" fontId="5" fillId="5" borderId="10" xfId="2" applyFont="1" applyFill="1" applyBorder="1" applyAlignment="1">
      <alignment horizontal="center"/>
    </xf>
    <xf numFmtId="0" fontId="5" fillId="5" borderId="0" xfId="2" applyFont="1" applyFill="1" applyAlignment="1">
      <alignment horizontal="center"/>
    </xf>
    <xf numFmtId="0" fontId="6" fillId="5" borderId="0" xfId="2" applyFont="1" applyFill="1" applyAlignment="1">
      <alignment horizontal="center" wrapText="1"/>
    </xf>
    <xf numFmtId="0" fontId="6" fillId="5" borderId="0" xfId="2" applyFont="1" applyFill="1" applyAlignment="1">
      <alignment wrapText="1"/>
    </xf>
    <xf numFmtId="0" fontId="6" fillId="0" borderId="0" xfId="2" applyFont="1" applyFill="1" applyAlignment="1">
      <alignment horizontal="left" wrapText="1"/>
    </xf>
    <xf numFmtId="0" fontId="6" fillId="5" borderId="0" xfId="2" applyFont="1" applyFill="1" applyBorder="1" applyAlignment="1">
      <alignment horizontal="center" wrapText="1"/>
    </xf>
    <xf numFmtId="0" fontId="6" fillId="5" borderId="0" xfId="2" applyFont="1" applyFill="1" applyBorder="1" applyAlignment="1">
      <alignment horizontal="center" wrapText="1"/>
    </xf>
    <xf numFmtId="44" fontId="2" fillId="5" borderId="0" xfId="1" applyFont="1" applyFill="1" applyBorder="1" applyAlignment="1">
      <alignment horizontal="center" wrapText="1"/>
    </xf>
    <xf numFmtId="44" fontId="2" fillId="5" borderId="0" xfId="1" applyFont="1" applyFill="1" applyAlignment="1">
      <alignment horizontal="center"/>
    </xf>
    <xf numFmtId="44" fontId="2" fillId="5" borderId="0" xfId="1" applyFont="1" applyFill="1"/>
    <xf numFmtId="0" fontId="44" fillId="5" borderId="0" xfId="0" applyFont="1" applyFill="1" applyBorder="1" applyAlignment="1">
      <alignment horizontal="center" vertical="center" wrapText="1"/>
    </xf>
    <xf numFmtId="44" fontId="6" fillId="5" borderId="0" xfId="2" applyNumberFormat="1" applyFont="1" applyFill="1" applyAlignment="1">
      <alignment horizontal="center"/>
    </xf>
    <xf numFmtId="0" fontId="44" fillId="5" borderId="0" xfId="0" applyFont="1" applyFill="1" applyBorder="1" applyAlignment="1">
      <alignment horizontal="center" vertical="center" wrapText="1"/>
    </xf>
    <xf numFmtId="49" fontId="45" fillId="5" borderId="0" xfId="0" applyNumberFormat="1" applyFont="1" applyFill="1" applyBorder="1" applyAlignment="1">
      <alignment horizontal="center" vertical="center" wrapText="1"/>
    </xf>
    <xf numFmtId="44" fontId="45" fillId="5" borderId="0" xfId="0" applyNumberFormat="1" applyFont="1" applyFill="1" applyBorder="1" applyAlignment="1">
      <alignment horizontal="center" vertical="center" wrapText="1"/>
    </xf>
    <xf numFmtId="0" fontId="44" fillId="5" borderId="0" xfId="0" applyFont="1" applyFill="1" applyBorder="1" applyAlignment="1">
      <alignment horizontal="center"/>
    </xf>
    <xf numFmtId="44" fontId="44" fillId="5" borderId="0" xfId="0" applyNumberFormat="1" applyFont="1" applyFill="1" applyBorder="1"/>
    <xf numFmtId="0" fontId="44" fillId="5" borderId="0" xfId="0" applyFont="1" applyFill="1" applyBorder="1" applyAlignment="1">
      <alignment horizontal="center"/>
    </xf>
    <xf numFmtId="0" fontId="43" fillId="0" borderId="0" xfId="0" applyFont="1" applyBorder="1" applyAlignment="1">
      <alignment horizontal="center" vertical="center" wrapText="1"/>
    </xf>
    <xf numFmtId="4" fontId="43" fillId="0" borderId="0" xfId="0" applyNumberFormat="1" applyFont="1" applyBorder="1" applyAlignment="1">
      <alignment horizontal="center" vertical="center" wrapText="1"/>
    </xf>
  </cellXfs>
  <cellStyles count="24">
    <cellStyle name="Excel_BuiltIn_Percent" xfId="21"/>
    <cellStyle name="Hiperlink 2" xfId="4"/>
    <cellStyle name="Moeda" xfId="1" builtinId="4"/>
    <cellStyle name="Moeda 2" xfId="5"/>
    <cellStyle name="Moeda 2 2" xfId="6"/>
    <cellStyle name="Moeda 3" xfId="7"/>
    <cellStyle name="Moeda 4" xfId="20"/>
    <cellStyle name="Normal" xfId="0" builtinId="0"/>
    <cellStyle name="Normal 2" xfId="2"/>
    <cellStyle name="Normal 2 2" xfId="8"/>
    <cellStyle name="Normal 3" xfId="9"/>
    <cellStyle name="Normal 3 2" xfId="10"/>
    <cellStyle name="Normal 4" xfId="17"/>
    <cellStyle name="Porcentagem" xfId="22" builtinId="5"/>
    <cellStyle name="Porcentagem 2" xfId="11"/>
    <cellStyle name="Porcentagem 2 2" xfId="12"/>
    <cellStyle name="Porcentagem 3" xfId="13"/>
    <cellStyle name="Porcentagem 4" xfId="19"/>
    <cellStyle name="Separador de milhares 2" xfId="14"/>
    <cellStyle name="Separador de milhares 3" xfId="15"/>
    <cellStyle name="Vírgula" xfId="23" builtinId="3"/>
    <cellStyle name="Vírgula 2" xfId="3"/>
    <cellStyle name="Vírgula 3" xfId="16"/>
    <cellStyle name="Vírgula 4" xfId="18"/>
  </cellStyles>
  <dxfs count="35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E5CA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FF9AE"/>
      <rgbColor rgb="FF99CCFF"/>
      <rgbColor rgb="FFF8AA97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M$6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104775</xdr:colOff>
      <xdr:row>3</xdr:row>
      <xdr:rowOff>57150</xdr:rowOff>
    </xdr:from>
    <xdr:to>
      <xdr:col>23</xdr:col>
      <xdr:colOff>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782175" y="514350"/>
          <a:ext cx="2943225" cy="581025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88000" tIns="0" rIns="0" bIns="0" anchor="ctr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FF"/>
              </a:solidFill>
              <a:latin typeface="Arial"/>
              <a:cs typeface="Arial"/>
            </a:rPr>
            <a:t>Selecione esta opção para visualizar as células que podem ser preenchidas e/ou alteradas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3</xdr:row>
          <xdr:rowOff>104775</xdr:rowOff>
        </xdr:from>
        <xdr:to>
          <xdr:col>23</xdr:col>
          <xdr:colOff>0</xdr:colOff>
          <xdr:row>4</xdr:row>
          <xdr:rowOff>285750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view="pageBreakPreview" zoomScaleNormal="100" zoomScaleSheetLayoutView="100" workbookViewId="0">
      <selection activeCell="F11" sqref="F11"/>
    </sheetView>
  </sheetViews>
  <sheetFormatPr defaultRowHeight="15"/>
  <cols>
    <col min="1" max="1" width="32.42578125" style="138" customWidth="1"/>
    <col min="2" max="2" width="15.5703125" style="138" customWidth="1"/>
    <col min="3" max="3" width="19.28515625" style="138" customWidth="1"/>
    <col min="4" max="4" width="16.7109375" style="138" customWidth="1"/>
    <col min="5" max="5" width="18.42578125" style="138" customWidth="1"/>
    <col min="6" max="7" width="20.7109375" style="138" customWidth="1"/>
    <col min="8" max="8" width="25.7109375" style="136" hidden="1" customWidth="1"/>
    <col min="9" max="14" width="9.140625" style="136" hidden="1" customWidth="1"/>
    <col min="15" max="254" width="9.140625" style="136"/>
    <col min="255" max="255" width="42.42578125" style="136" customWidth="1"/>
    <col min="256" max="256" width="14.85546875" style="136" customWidth="1"/>
    <col min="257" max="257" width="0" style="136" hidden="1" customWidth="1"/>
    <col min="258" max="258" width="16.7109375" style="136" customWidth="1"/>
    <col min="259" max="259" width="18.42578125" style="136" customWidth="1"/>
    <col min="260" max="261" width="20.7109375" style="136" customWidth="1"/>
    <col min="262" max="262" width="18.140625" style="136" customWidth="1"/>
    <col min="263" max="263" width="19.42578125" style="136" customWidth="1"/>
    <col min="264" max="270" width="0" style="136" hidden="1" customWidth="1"/>
    <col min="271" max="510" width="9.140625" style="136"/>
    <col min="511" max="511" width="42.42578125" style="136" customWidth="1"/>
    <col min="512" max="512" width="14.85546875" style="136" customWidth="1"/>
    <col min="513" max="513" width="0" style="136" hidden="1" customWidth="1"/>
    <col min="514" max="514" width="16.7109375" style="136" customWidth="1"/>
    <col min="515" max="515" width="18.42578125" style="136" customWidth="1"/>
    <col min="516" max="517" width="20.7109375" style="136" customWidth="1"/>
    <col min="518" max="518" width="18.140625" style="136" customWidth="1"/>
    <col min="519" max="519" width="19.42578125" style="136" customWidth="1"/>
    <col min="520" max="526" width="0" style="136" hidden="1" customWidth="1"/>
    <col min="527" max="766" width="9.140625" style="136"/>
    <col min="767" max="767" width="42.42578125" style="136" customWidth="1"/>
    <col min="768" max="768" width="14.85546875" style="136" customWidth="1"/>
    <col min="769" max="769" width="0" style="136" hidden="1" customWidth="1"/>
    <col min="770" max="770" width="16.7109375" style="136" customWidth="1"/>
    <col min="771" max="771" width="18.42578125" style="136" customWidth="1"/>
    <col min="772" max="773" width="20.7109375" style="136" customWidth="1"/>
    <col min="774" max="774" width="18.140625" style="136" customWidth="1"/>
    <col min="775" max="775" width="19.42578125" style="136" customWidth="1"/>
    <col min="776" max="782" width="0" style="136" hidden="1" customWidth="1"/>
    <col min="783" max="1022" width="9.140625" style="136"/>
    <col min="1023" max="1023" width="42.42578125" style="136" customWidth="1"/>
    <col min="1024" max="1024" width="14.85546875" style="136" customWidth="1"/>
    <col min="1025" max="1025" width="0" style="136" hidden="1" customWidth="1"/>
    <col min="1026" max="1026" width="16.7109375" style="136" customWidth="1"/>
    <col min="1027" max="1027" width="18.42578125" style="136" customWidth="1"/>
    <col min="1028" max="1029" width="20.7109375" style="136" customWidth="1"/>
    <col min="1030" max="1030" width="18.140625" style="136" customWidth="1"/>
    <col min="1031" max="1031" width="19.42578125" style="136" customWidth="1"/>
    <col min="1032" max="1038" width="0" style="136" hidden="1" customWidth="1"/>
    <col min="1039" max="1278" width="9.140625" style="136"/>
    <col min="1279" max="1279" width="42.42578125" style="136" customWidth="1"/>
    <col min="1280" max="1280" width="14.85546875" style="136" customWidth="1"/>
    <col min="1281" max="1281" width="0" style="136" hidden="1" customWidth="1"/>
    <col min="1282" max="1282" width="16.7109375" style="136" customWidth="1"/>
    <col min="1283" max="1283" width="18.42578125" style="136" customWidth="1"/>
    <col min="1284" max="1285" width="20.7109375" style="136" customWidth="1"/>
    <col min="1286" max="1286" width="18.140625" style="136" customWidth="1"/>
    <col min="1287" max="1287" width="19.42578125" style="136" customWidth="1"/>
    <col min="1288" max="1294" width="0" style="136" hidden="1" customWidth="1"/>
    <col min="1295" max="1534" width="9.140625" style="136"/>
    <col min="1535" max="1535" width="42.42578125" style="136" customWidth="1"/>
    <col min="1536" max="1536" width="14.85546875" style="136" customWidth="1"/>
    <col min="1537" max="1537" width="0" style="136" hidden="1" customWidth="1"/>
    <col min="1538" max="1538" width="16.7109375" style="136" customWidth="1"/>
    <col min="1539" max="1539" width="18.42578125" style="136" customWidth="1"/>
    <col min="1540" max="1541" width="20.7109375" style="136" customWidth="1"/>
    <col min="1542" max="1542" width="18.140625" style="136" customWidth="1"/>
    <col min="1543" max="1543" width="19.42578125" style="136" customWidth="1"/>
    <col min="1544" max="1550" width="0" style="136" hidden="1" customWidth="1"/>
    <col min="1551" max="1790" width="9.140625" style="136"/>
    <col min="1791" max="1791" width="42.42578125" style="136" customWidth="1"/>
    <col min="1792" max="1792" width="14.85546875" style="136" customWidth="1"/>
    <col min="1793" max="1793" width="0" style="136" hidden="1" customWidth="1"/>
    <col min="1794" max="1794" width="16.7109375" style="136" customWidth="1"/>
    <col min="1795" max="1795" width="18.42578125" style="136" customWidth="1"/>
    <col min="1796" max="1797" width="20.7109375" style="136" customWidth="1"/>
    <col min="1798" max="1798" width="18.140625" style="136" customWidth="1"/>
    <col min="1799" max="1799" width="19.42578125" style="136" customWidth="1"/>
    <col min="1800" max="1806" width="0" style="136" hidden="1" customWidth="1"/>
    <col min="1807" max="2046" width="9.140625" style="136"/>
    <col min="2047" max="2047" width="42.42578125" style="136" customWidth="1"/>
    <col min="2048" max="2048" width="14.85546875" style="136" customWidth="1"/>
    <col min="2049" max="2049" width="0" style="136" hidden="1" customWidth="1"/>
    <col min="2050" max="2050" width="16.7109375" style="136" customWidth="1"/>
    <col min="2051" max="2051" width="18.42578125" style="136" customWidth="1"/>
    <col min="2052" max="2053" width="20.7109375" style="136" customWidth="1"/>
    <col min="2054" max="2054" width="18.140625" style="136" customWidth="1"/>
    <col min="2055" max="2055" width="19.42578125" style="136" customWidth="1"/>
    <col min="2056" max="2062" width="0" style="136" hidden="1" customWidth="1"/>
    <col min="2063" max="2302" width="9.140625" style="136"/>
    <col min="2303" max="2303" width="42.42578125" style="136" customWidth="1"/>
    <col min="2304" max="2304" width="14.85546875" style="136" customWidth="1"/>
    <col min="2305" max="2305" width="0" style="136" hidden="1" customWidth="1"/>
    <col min="2306" max="2306" width="16.7109375" style="136" customWidth="1"/>
    <col min="2307" max="2307" width="18.42578125" style="136" customWidth="1"/>
    <col min="2308" max="2309" width="20.7109375" style="136" customWidth="1"/>
    <col min="2310" max="2310" width="18.140625" style="136" customWidth="1"/>
    <col min="2311" max="2311" width="19.42578125" style="136" customWidth="1"/>
    <col min="2312" max="2318" width="0" style="136" hidden="1" customWidth="1"/>
    <col min="2319" max="2558" width="9.140625" style="136"/>
    <col min="2559" max="2559" width="42.42578125" style="136" customWidth="1"/>
    <col min="2560" max="2560" width="14.85546875" style="136" customWidth="1"/>
    <col min="2561" max="2561" width="0" style="136" hidden="1" customWidth="1"/>
    <col min="2562" max="2562" width="16.7109375" style="136" customWidth="1"/>
    <col min="2563" max="2563" width="18.42578125" style="136" customWidth="1"/>
    <col min="2564" max="2565" width="20.7109375" style="136" customWidth="1"/>
    <col min="2566" max="2566" width="18.140625" style="136" customWidth="1"/>
    <col min="2567" max="2567" width="19.42578125" style="136" customWidth="1"/>
    <col min="2568" max="2574" width="0" style="136" hidden="1" customWidth="1"/>
    <col min="2575" max="2814" width="9.140625" style="136"/>
    <col min="2815" max="2815" width="42.42578125" style="136" customWidth="1"/>
    <col min="2816" max="2816" width="14.85546875" style="136" customWidth="1"/>
    <col min="2817" max="2817" width="0" style="136" hidden="1" customWidth="1"/>
    <col min="2818" max="2818" width="16.7109375" style="136" customWidth="1"/>
    <col min="2819" max="2819" width="18.42578125" style="136" customWidth="1"/>
    <col min="2820" max="2821" width="20.7109375" style="136" customWidth="1"/>
    <col min="2822" max="2822" width="18.140625" style="136" customWidth="1"/>
    <col min="2823" max="2823" width="19.42578125" style="136" customWidth="1"/>
    <col min="2824" max="2830" width="0" style="136" hidden="1" customWidth="1"/>
    <col min="2831" max="3070" width="9.140625" style="136"/>
    <col min="3071" max="3071" width="42.42578125" style="136" customWidth="1"/>
    <col min="3072" max="3072" width="14.85546875" style="136" customWidth="1"/>
    <col min="3073" max="3073" width="0" style="136" hidden="1" customWidth="1"/>
    <col min="3074" max="3074" width="16.7109375" style="136" customWidth="1"/>
    <col min="3075" max="3075" width="18.42578125" style="136" customWidth="1"/>
    <col min="3076" max="3077" width="20.7109375" style="136" customWidth="1"/>
    <col min="3078" max="3078" width="18.140625" style="136" customWidth="1"/>
    <col min="3079" max="3079" width="19.42578125" style="136" customWidth="1"/>
    <col min="3080" max="3086" width="0" style="136" hidden="1" customWidth="1"/>
    <col min="3087" max="3326" width="9.140625" style="136"/>
    <col min="3327" max="3327" width="42.42578125" style="136" customWidth="1"/>
    <col min="3328" max="3328" width="14.85546875" style="136" customWidth="1"/>
    <col min="3329" max="3329" width="0" style="136" hidden="1" customWidth="1"/>
    <col min="3330" max="3330" width="16.7109375" style="136" customWidth="1"/>
    <col min="3331" max="3331" width="18.42578125" style="136" customWidth="1"/>
    <col min="3332" max="3333" width="20.7109375" style="136" customWidth="1"/>
    <col min="3334" max="3334" width="18.140625" style="136" customWidth="1"/>
    <col min="3335" max="3335" width="19.42578125" style="136" customWidth="1"/>
    <col min="3336" max="3342" width="0" style="136" hidden="1" customWidth="1"/>
    <col min="3343" max="3582" width="9.140625" style="136"/>
    <col min="3583" max="3583" width="42.42578125" style="136" customWidth="1"/>
    <col min="3584" max="3584" width="14.85546875" style="136" customWidth="1"/>
    <col min="3585" max="3585" width="0" style="136" hidden="1" customWidth="1"/>
    <col min="3586" max="3586" width="16.7109375" style="136" customWidth="1"/>
    <col min="3587" max="3587" width="18.42578125" style="136" customWidth="1"/>
    <col min="3588" max="3589" width="20.7109375" style="136" customWidth="1"/>
    <col min="3590" max="3590" width="18.140625" style="136" customWidth="1"/>
    <col min="3591" max="3591" width="19.42578125" style="136" customWidth="1"/>
    <col min="3592" max="3598" width="0" style="136" hidden="1" customWidth="1"/>
    <col min="3599" max="3838" width="9.140625" style="136"/>
    <col min="3839" max="3839" width="42.42578125" style="136" customWidth="1"/>
    <col min="3840" max="3840" width="14.85546875" style="136" customWidth="1"/>
    <col min="3841" max="3841" width="0" style="136" hidden="1" customWidth="1"/>
    <col min="3842" max="3842" width="16.7109375" style="136" customWidth="1"/>
    <col min="3843" max="3843" width="18.42578125" style="136" customWidth="1"/>
    <col min="3844" max="3845" width="20.7109375" style="136" customWidth="1"/>
    <col min="3846" max="3846" width="18.140625" style="136" customWidth="1"/>
    <col min="3847" max="3847" width="19.42578125" style="136" customWidth="1"/>
    <col min="3848" max="3854" width="0" style="136" hidden="1" customWidth="1"/>
    <col min="3855" max="4094" width="9.140625" style="136"/>
    <col min="4095" max="4095" width="42.42578125" style="136" customWidth="1"/>
    <col min="4096" max="4096" width="14.85546875" style="136" customWidth="1"/>
    <col min="4097" max="4097" width="0" style="136" hidden="1" customWidth="1"/>
    <col min="4098" max="4098" width="16.7109375" style="136" customWidth="1"/>
    <col min="4099" max="4099" width="18.42578125" style="136" customWidth="1"/>
    <col min="4100" max="4101" width="20.7109375" style="136" customWidth="1"/>
    <col min="4102" max="4102" width="18.140625" style="136" customWidth="1"/>
    <col min="4103" max="4103" width="19.42578125" style="136" customWidth="1"/>
    <col min="4104" max="4110" width="0" style="136" hidden="1" customWidth="1"/>
    <col min="4111" max="4350" width="9.140625" style="136"/>
    <col min="4351" max="4351" width="42.42578125" style="136" customWidth="1"/>
    <col min="4352" max="4352" width="14.85546875" style="136" customWidth="1"/>
    <col min="4353" max="4353" width="0" style="136" hidden="1" customWidth="1"/>
    <col min="4354" max="4354" width="16.7109375" style="136" customWidth="1"/>
    <col min="4355" max="4355" width="18.42578125" style="136" customWidth="1"/>
    <col min="4356" max="4357" width="20.7109375" style="136" customWidth="1"/>
    <col min="4358" max="4358" width="18.140625" style="136" customWidth="1"/>
    <col min="4359" max="4359" width="19.42578125" style="136" customWidth="1"/>
    <col min="4360" max="4366" width="0" style="136" hidden="1" customWidth="1"/>
    <col min="4367" max="4606" width="9.140625" style="136"/>
    <col min="4607" max="4607" width="42.42578125" style="136" customWidth="1"/>
    <col min="4608" max="4608" width="14.85546875" style="136" customWidth="1"/>
    <col min="4609" max="4609" width="0" style="136" hidden="1" customWidth="1"/>
    <col min="4610" max="4610" width="16.7109375" style="136" customWidth="1"/>
    <col min="4611" max="4611" width="18.42578125" style="136" customWidth="1"/>
    <col min="4612" max="4613" width="20.7109375" style="136" customWidth="1"/>
    <col min="4614" max="4614" width="18.140625" style="136" customWidth="1"/>
    <col min="4615" max="4615" width="19.42578125" style="136" customWidth="1"/>
    <col min="4616" max="4622" width="0" style="136" hidden="1" customWidth="1"/>
    <col min="4623" max="4862" width="9.140625" style="136"/>
    <col min="4863" max="4863" width="42.42578125" style="136" customWidth="1"/>
    <col min="4864" max="4864" width="14.85546875" style="136" customWidth="1"/>
    <col min="4865" max="4865" width="0" style="136" hidden="1" customWidth="1"/>
    <col min="4866" max="4866" width="16.7109375" style="136" customWidth="1"/>
    <col min="4867" max="4867" width="18.42578125" style="136" customWidth="1"/>
    <col min="4868" max="4869" width="20.7109375" style="136" customWidth="1"/>
    <col min="4870" max="4870" width="18.140625" style="136" customWidth="1"/>
    <col min="4871" max="4871" width="19.42578125" style="136" customWidth="1"/>
    <col min="4872" max="4878" width="0" style="136" hidden="1" customWidth="1"/>
    <col min="4879" max="5118" width="9.140625" style="136"/>
    <col min="5119" max="5119" width="42.42578125" style="136" customWidth="1"/>
    <col min="5120" max="5120" width="14.85546875" style="136" customWidth="1"/>
    <col min="5121" max="5121" width="0" style="136" hidden="1" customWidth="1"/>
    <col min="5122" max="5122" width="16.7109375" style="136" customWidth="1"/>
    <col min="5123" max="5123" width="18.42578125" style="136" customWidth="1"/>
    <col min="5124" max="5125" width="20.7109375" style="136" customWidth="1"/>
    <col min="5126" max="5126" width="18.140625" style="136" customWidth="1"/>
    <col min="5127" max="5127" width="19.42578125" style="136" customWidth="1"/>
    <col min="5128" max="5134" width="0" style="136" hidden="1" customWidth="1"/>
    <col min="5135" max="5374" width="9.140625" style="136"/>
    <col min="5375" max="5375" width="42.42578125" style="136" customWidth="1"/>
    <col min="5376" max="5376" width="14.85546875" style="136" customWidth="1"/>
    <col min="5377" max="5377" width="0" style="136" hidden="1" customWidth="1"/>
    <col min="5378" max="5378" width="16.7109375" style="136" customWidth="1"/>
    <col min="5379" max="5379" width="18.42578125" style="136" customWidth="1"/>
    <col min="5380" max="5381" width="20.7109375" style="136" customWidth="1"/>
    <col min="5382" max="5382" width="18.140625" style="136" customWidth="1"/>
    <col min="5383" max="5383" width="19.42578125" style="136" customWidth="1"/>
    <col min="5384" max="5390" width="0" style="136" hidden="1" customWidth="1"/>
    <col min="5391" max="5630" width="9.140625" style="136"/>
    <col min="5631" max="5631" width="42.42578125" style="136" customWidth="1"/>
    <col min="5632" max="5632" width="14.85546875" style="136" customWidth="1"/>
    <col min="5633" max="5633" width="0" style="136" hidden="1" customWidth="1"/>
    <col min="5634" max="5634" width="16.7109375" style="136" customWidth="1"/>
    <col min="5635" max="5635" width="18.42578125" style="136" customWidth="1"/>
    <col min="5636" max="5637" width="20.7109375" style="136" customWidth="1"/>
    <col min="5638" max="5638" width="18.140625" style="136" customWidth="1"/>
    <col min="5639" max="5639" width="19.42578125" style="136" customWidth="1"/>
    <col min="5640" max="5646" width="0" style="136" hidden="1" customWidth="1"/>
    <col min="5647" max="5886" width="9.140625" style="136"/>
    <col min="5887" max="5887" width="42.42578125" style="136" customWidth="1"/>
    <col min="5888" max="5888" width="14.85546875" style="136" customWidth="1"/>
    <col min="5889" max="5889" width="0" style="136" hidden="1" customWidth="1"/>
    <col min="5890" max="5890" width="16.7109375" style="136" customWidth="1"/>
    <col min="5891" max="5891" width="18.42578125" style="136" customWidth="1"/>
    <col min="5892" max="5893" width="20.7109375" style="136" customWidth="1"/>
    <col min="5894" max="5894" width="18.140625" style="136" customWidth="1"/>
    <col min="5895" max="5895" width="19.42578125" style="136" customWidth="1"/>
    <col min="5896" max="5902" width="0" style="136" hidden="1" customWidth="1"/>
    <col min="5903" max="6142" width="9.140625" style="136"/>
    <col min="6143" max="6143" width="42.42578125" style="136" customWidth="1"/>
    <col min="6144" max="6144" width="14.85546875" style="136" customWidth="1"/>
    <col min="6145" max="6145" width="0" style="136" hidden="1" customWidth="1"/>
    <col min="6146" max="6146" width="16.7109375" style="136" customWidth="1"/>
    <col min="6147" max="6147" width="18.42578125" style="136" customWidth="1"/>
    <col min="6148" max="6149" width="20.7109375" style="136" customWidth="1"/>
    <col min="6150" max="6150" width="18.140625" style="136" customWidth="1"/>
    <col min="6151" max="6151" width="19.42578125" style="136" customWidth="1"/>
    <col min="6152" max="6158" width="0" style="136" hidden="1" customWidth="1"/>
    <col min="6159" max="6398" width="9.140625" style="136"/>
    <col min="6399" max="6399" width="42.42578125" style="136" customWidth="1"/>
    <col min="6400" max="6400" width="14.85546875" style="136" customWidth="1"/>
    <col min="6401" max="6401" width="0" style="136" hidden="1" customWidth="1"/>
    <col min="6402" max="6402" width="16.7109375" style="136" customWidth="1"/>
    <col min="6403" max="6403" width="18.42578125" style="136" customWidth="1"/>
    <col min="6404" max="6405" width="20.7109375" style="136" customWidth="1"/>
    <col min="6406" max="6406" width="18.140625" style="136" customWidth="1"/>
    <col min="6407" max="6407" width="19.42578125" style="136" customWidth="1"/>
    <col min="6408" max="6414" width="0" style="136" hidden="1" customWidth="1"/>
    <col min="6415" max="6654" width="9.140625" style="136"/>
    <col min="6655" max="6655" width="42.42578125" style="136" customWidth="1"/>
    <col min="6656" max="6656" width="14.85546875" style="136" customWidth="1"/>
    <col min="6657" max="6657" width="0" style="136" hidden="1" customWidth="1"/>
    <col min="6658" max="6658" width="16.7109375" style="136" customWidth="1"/>
    <col min="6659" max="6659" width="18.42578125" style="136" customWidth="1"/>
    <col min="6660" max="6661" width="20.7109375" style="136" customWidth="1"/>
    <col min="6662" max="6662" width="18.140625" style="136" customWidth="1"/>
    <col min="6663" max="6663" width="19.42578125" style="136" customWidth="1"/>
    <col min="6664" max="6670" width="0" style="136" hidden="1" customWidth="1"/>
    <col min="6671" max="6910" width="9.140625" style="136"/>
    <col min="6911" max="6911" width="42.42578125" style="136" customWidth="1"/>
    <col min="6912" max="6912" width="14.85546875" style="136" customWidth="1"/>
    <col min="6913" max="6913" width="0" style="136" hidden="1" customWidth="1"/>
    <col min="6914" max="6914" width="16.7109375" style="136" customWidth="1"/>
    <col min="6915" max="6915" width="18.42578125" style="136" customWidth="1"/>
    <col min="6916" max="6917" width="20.7109375" style="136" customWidth="1"/>
    <col min="6918" max="6918" width="18.140625" style="136" customWidth="1"/>
    <col min="6919" max="6919" width="19.42578125" style="136" customWidth="1"/>
    <col min="6920" max="6926" width="0" style="136" hidden="1" customWidth="1"/>
    <col min="6927" max="7166" width="9.140625" style="136"/>
    <col min="7167" max="7167" width="42.42578125" style="136" customWidth="1"/>
    <col min="7168" max="7168" width="14.85546875" style="136" customWidth="1"/>
    <col min="7169" max="7169" width="0" style="136" hidden="1" customWidth="1"/>
    <col min="7170" max="7170" width="16.7109375" style="136" customWidth="1"/>
    <col min="7171" max="7171" width="18.42578125" style="136" customWidth="1"/>
    <col min="7172" max="7173" width="20.7109375" style="136" customWidth="1"/>
    <col min="7174" max="7174" width="18.140625" style="136" customWidth="1"/>
    <col min="7175" max="7175" width="19.42578125" style="136" customWidth="1"/>
    <col min="7176" max="7182" width="0" style="136" hidden="1" customWidth="1"/>
    <col min="7183" max="7422" width="9.140625" style="136"/>
    <col min="7423" max="7423" width="42.42578125" style="136" customWidth="1"/>
    <col min="7424" max="7424" width="14.85546875" style="136" customWidth="1"/>
    <col min="7425" max="7425" width="0" style="136" hidden="1" customWidth="1"/>
    <col min="7426" max="7426" width="16.7109375" style="136" customWidth="1"/>
    <col min="7427" max="7427" width="18.42578125" style="136" customWidth="1"/>
    <col min="7428" max="7429" width="20.7109375" style="136" customWidth="1"/>
    <col min="7430" max="7430" width="18.140625" style="136" customWidth="1"/>
    <col min="7431" max="7431" width="19.42578125" style="136" customWidth="1"/>
    <col min="7432" max="7438" width="0" style="136" hidden="1" customWidth="1"/>
    <col min="7439" max="7678" width="9.140625" style="136"/>
    <col min="7679" max="7679" width="42.42578125" style="136" customWidth="1"/>
    <col min="7680" max="7680" width="14.85546875" style="136" customWidth="1"/>
    <col min="7681" max="7681" width="0" style="136" hidden="1" customWidth="1"/>
    <col min="7682" max="7682" width="16.7109375" style="136" customWidth="1"/>
    <col min="7683" max="7683" width="18.42578125" style="136" customWidth="1"/>
    <col min="7684" max="7685" width="20.7109375" style="136" customWidth="1"/>
    <col min="7686" max="7686" width="18.140625" style="136" customWidth="1"/>
    <col min="7687" max="7687" width="19.42578125" style="136" customWidth="1"/>
    <col min="7688" max="7694" width="0" style="136" hidden="1" customWidth="1"/>
    <col min="7695" max="7934" width="9.140625" style="136"/>
    <col min="7935" max="7935" width="42.42578125" style="136" customWidth="1"/>
    <col min="7936" max="7936" width="14.85546875" style="136" customWidth="1"/>
    <col min="7937" max="7937" width="0" style="136" hidden="1" customWidth="1"/>
    <col min="7938" max="7938" width="16.7109375" style="136" customWidth="1"/>
    <col min="7939" max="7939" width="18.42578125" style="136" customWidth="1"/>
    <col min="7940" max="7941" width="20.7109375" style="136" customWidth="1"/>
    <col min="7942" max="7942" width="18.140625" style="136" customWidth="1"/>
    <col min="7943" max="7943" width="19.42578125" style="136" customWidth="1"/>
    <col min="7944" max="7950" width="0" style="136" hidden="1" customWidth="1"/>
    <col min="7951" max="8190" width="9.140625" style="136"/>
    <col min="8191" max="8191" width="42.42578125" style="136" customWidth="1"/>
    <col min="8192" max="8192" width="14.85546875" style="136" customWidth="1"/>
    <col min="8193" max="8193" width="0" style="136" hidden="1" customWidth="1"/>
    <col min="8194" max="8194" width="16.7109375" style="136" customWidth="1"/>
    <col min="8195" max="8195" width="18.42578125" style="136" customWidth="1"/>
    <col min="8196" max="8197" width="20.7109375" style="136" customWidth="1"/>
    <col min="8198" max="8198" width="18.140625" style="136" customWidth="1"/>
    <col min="8199" max="8199" width="19.42578125" style="136" customWidth="1"/>
    <col min="8200" max="8206" width="0" style="136" hidden="1" customWidth="1"/>
    <col min="8207" max="8446" width="9.140625" style="136"/>
    <col min="8447" max="8447" width="42.42578125" style="136" customWidth="1"/>
    <col min="8448" max="8448" width="14.85546875" style="136" customWidth="1"/>
    <col min="8449" max="8449" width="0" style="136" hidden="1" customWidth="1"/>
    <col min="8450" max="8450" width="16.7109375" style="136" customWidth="1"/>
    <col min="8451" max="8451" width="18.42578125" style="136" customWidth="1"/>
    <col min="8452" max="8453" width="20.7109375" style="136" customWidth="1"/>
    <col min="8454" max="8454" width="18.140625" style="136" customWidth="1"/>
    <col min="8455" max="8455" width="19.42578125" style="136" customWidth="1"/>
    <col min="8456" max="8462" width="0" style="136" hidden="1" customWidth="1"/>
    <col min="8463" max="8702" width="9.140625" style="136"/>
    <col min="8703" max="8703" width="42.42578125" style="136" customWidth="1"/>
    <col min="8704" max="8704" width="14.85546875" style="136" customWidth="1"/>
    <col min="8705" max="8705" width="0" style="136" hidden="1" customWidth="1"/>
    <col min="8706" max="8706" width="16.7109375" style="136" customWidth="1"/>
    <col min="8707" max="8707" width="18.42578125" style="136" customWidth="1"/>
    <col min="8708" max="8709" width="20.7109375" style="136" customWidth="1"/>
    <col min="8710" max="8710" width="18.140625" style="136" customWidth="1"/>
    <col min="8711" max="8711" width="19.42578125" style="136" customWidth="1"/>
    <col min="8712" max="8718" width="0" style="136" hidden="1" customWidth="1"/>
    <col min="8719" max="8958" width="9.140625" style="136"/>
    <col min="8959" max="8959" width="42.42578125" style="136" customWidth="1"/>
    <col min="8960" max="8960" width="14.85546875" style="136" customWidth="1"/>
    <col min="8961" max="8961" width="0" style="136" hidden="1" customWidth="1"/>
    <col min="8962" max="8962" width="16.7109375" style="136" customWidth="1"/>
    <col min="8963" max="8963" width="18.42578125" style="136" customWidth="1"/>
    <col min="8964" max="8965" width="20.7109375" style="136" customWidth="1"/>
    <col min="8966" max="8966" width="18.140625" style="136" customWidth="1"/>
    <col min="8967" max="8967" width="19.42578125" style="136" customWidth="1"/>
    <col min="8968" max="8974" width="0" style="136" hidden="1" customWidth="1"/>
    <col min="8975" max="9214" width="9.140625" style="136"/>
    <col min="9215" max="9215" width="42.42578125" style="136" customWidth="1"/>
    <col min="9216" max="9216" width="14.85546875" style="136" customWidth="1"/>
    <col min="9217" max="9217" width="0" style="136" hidden="1" customWidth="1"/>
    <col min="9218" max="9218" width="16.7109375" style="136" customWidth="1"/>
    <col min="9219" max="9219" width="18.42578125" style="136" customWidth="1"/>
    <col min="9220" max="9221" width="20.7109375" style="136" customWidth="1"/>
    <col min="9222" max="9222" width="18.140625" style="136" customWidth="1"/>
    <col min="9223" max="9223" width="19.42578125" style="136" customWidth="1"/>
    <col min="9224" max="9230" width="0" style="136" hidden="1" customWidth="1"/>
    <col min="9231" max="9470" width="9.140625" style="136"/>
    <col min="9471" max="9471" width="42.42578125" style="136" customWidth="1"/>
    <col min="9472" max="9472" width="14.85546875" style="136" customWidth="1"/>
    <col min="9473" max="9473" width="0" style="136" hidden="1" customWidth="1"/>
    <col min="9474" max="9474" width="16.7109375" style="136" customWidth="1"/>
    <col min="9475" max="9475" width="18.42578125" style="136" customWidth="1"/>
    <col min="9476" max="9477" width="20.7109375" style="136" customWidth="1"/>
    <col min="9478" max="9478" width="18.140625" style="136" customWidth="1"/>
    <col min="9479" max="9479" width="19.42578125" style="136" customWidth="1"/>
    <col min="9480" max="9486" width="0" style="136" hidden="1" customWidth="1"/>
    <col min="9487" max="9726" width="9.140625" style="136"/>
    <col min="9727" max="9727" width="42.42578125" style="136" customWidth="1"/>
    <col min="9728" max="9728" width="14.85546875" style="136" customWidth="1"/>
    <col min="9729" max="9729" width="0" style="136" hidden="1" customWidth="1"/>
    <col min="9730" max="9730" width="16.7109375" style="136" customWidth="1"/>
    <col min="9731" max="9731" width="18.42578125" style="136" customWidth="1"/>
    <col min="9732" max="9733" width="20.7109375" style="136" customWidth="1"/>
    <col min="9734" max="9734" width="18.140625" style="136" customWidth="1"/>
    <col min="9735" max="9735" width="19.42578125" style="136" customWidth="1"/>
    <col min="9736" max="9742" width="0" style="136" hidden="1" customWidth="1"/>
    <col min="9743" max="9982" width="9.140625" style="136"/>
    <col min="9983" max="9983" width="42.42578125" style="136" customWidth="1"/>
    <col min="9984" max="9984" width="14.85546875" style="136" customWidth="1"/>
    <col min="9985" max="9985" width="0" style="136" hidden="1" customWidth="1"/>
    <col min="9986" max="9986" width="16.7109375" style="136" customWidth="1"/>
    <col min="9987" max="9987" width="18.42578125" style="136" customWidth="1"/>
    <col min="9988" max="9989" width="20.7109375" style="136" customWidth="1"/>
    <col min="9990" max="9990" width="18.140625" style="136" customWidth="1"/>
    <col min="9991" max="9991" width="19.42578125" style="136" customWidth="1"/>
    <col min="9992" max="9998" width="0" style="136" hidden="1" customWidth="1"/>
    <col min="9999" max="10238" width="9.140625" style="136"/>
    <col min="10239" max="10239" width="42.42578125" style="136" customWidth="1"/>
    <col min="10240" max="10240" width="14.85546875" style="136" customWidth="1"/>
    <col min="10241" max="10241" width="0" style="136" hidden="1" customWidth="1"/>
    <col min="10242" max="10242" width="16.7109375" style="136" customWidth="1"/>
    <col min="10243" max="10243" width="18.42578125" style="136" customWidth="1"/>
    <col min="10244" max="10245" width="20.7109375" style="136" customWidth="1"/>
    <col min="10246" max="10246" width="18.140625" style="136" customWidth="1"/>
    <col min="10247" max="10247" width="19.42578125" style="136" customWidth="1"/>
    <col min="10248" max="10254" width="0" style="136" hidden="1" customWidth="1"/>
    <col min="10255" max="10494" width="9.140625" style="136"/>
    <col min="10495" max="10495" width="42.42578125" style="136" customWidth="1"/>
    <col min="10496" max="10496" width="14.85546875" style="136" customWidth="1"/>
    <col min="10497" max="10497" width="0" style="136" hidden="1" customWidth="1"/>
    <col min="10498" max="10498" width="16.7109375" style="136" customWidth="1"/>
    <col min="10499" max="10499" width="18.42578125" style="136" customWidth="1"/>
    <col min="10500" max="10501" width="20.7109375" style="136" customWidth="1"/>
    <col min="10502" max="10502" width="18.140625" style="136" customWidth="1"/>
    <col min="10503" max="10503" width="19.42578125" style="136" customWidth="1"/>
    <col min="10504" max="10510" width="0" style="136" hidden="1" customWidth="1"/>
    <col min="10511" max="10750" width="9.140625" style="136"/>
    <col min="10751" max="10751" width="42.42578125" style="136" customWidth="1"/>
    <col min="10752" max="10752" width="14.85546875" style="136" customWidth="1"/>
    <col min="10753" max="10753" width="0" style="136" hidden="1" customWidth="1"/>
    <col min="10754" max="10754" width="16.7109375" style="136" customWidth="1"/>
    <col min="10755" max="10755" width="18.42578125" style="136" customWidth="1"/>
    <col min="10756" max="10757" width="20.7109375" style="136" customWidth="1"/>
    <col min="10758" max="10758" width="18.140625" style="136" customWidth="1"/>
    <col min="10759" max="10759" width="19.42578125" style="136" customWidth="1"/>
    <col min="10760" max="10766" width="0" style="136" hidden="1" customWidth="1"/>
    <col min="10767" max="11006" width="9.140625" style="136"/>
    <col min="11007" max="11007" width="42.42578125" style="136" customWidth="1"/>
    <col min="11008" max="11008" width="14.85546875" style="136" customWidth="1"/>
    <col min="11009" max="11009" width="0" style="136" hidden="1" customWidth="1"/>
    <col min="11010" max="11010" width="16.7109375" style="136" customWidth="1"/>
    <col min="11011" max="11011" width="18.42578125" style="136" customWidth="1"/>
    <col min="11012" max="11013" width="20.7109375" style="136" customWidth="1"/>
    <col min="11014" max="11014" width="18.140625" style="136" customWidth="1"/>
    <col min="11015" max="11015" width="19.42578125" style="136" customWidth="1"/>
    <col min="11016" max="11022" width="0" style="136" hidden="1" customWidth="1"/>
    <col min="11023" max="11262" width="9.140625" style="136"/>
    <col min="11263" max="11263" width="42.42578125" style="136" customWidth="1"/>
    <col min="11264" max="11264" width="14.85546875" style="136" customWidth="1"/>
    <col min="11265" max="11265" width="0" style="136" hidden="1" customWidth="1"/>
    <col min="11266" max="11266" width="16.7109375" style="136" customWidth="1"/>
    <col min="11267" max="11267" width="18.42578125" style="136" customWidth="1"/>
    <col min="11268" max="11269" width="20.7109375" style="136" customWidth="1"/>
    <col min="11270" max="11270" width="18.140625" style="136" customWidth="1"/>
    <col min="11271" max="11271" width="19.42578125" style="136" customWidth="1"/>
    <col min="11272" max="11278" width="0" style="136" hidden="1" customWidth="1"/>
    <col min="11279" max="11518" width="9.140625" style="136"/>
    <col min="11519" max="11519" width="42.42578125" style="136" customWidth="1"/>
    <col min="11520" max="11520" width="14.85546875" style="136" customWidth="1"/>
    <col min="11521" max="11521" width="0" style="136" hidden="1" customWidth="1"/>
    <col min="11522" max="11522" width="16.7109375" style="136" customWidth="1"/>
    <col min="11523" max="11523" width="18.42578125" style="136" customWidth="1"/>
    <col min="11524" max="11525" width="20.7109375" style="136" customWidth="1"/>
    <col min="11526" max="11526" width="18.140625" style="136" customWidth="1"/>
    <col min="11527" max="11527" width="19.42578125" style="136" customWidth="1"/>
    <col min="11528" max="11534" width="0" style="136" hidden="1" customWidth="1"/>
    <col min="11535" max="11774" width="9.140625" style="136"/>
    <col min="11775" max="11775" width="42.42578125" style="136" customWidth="1"/>
    <col min="11776" max="11776" width="14.85546875" style="136" customWidth="1"/>
    <col min="11777" max="11777" width="0" style="136" hidden="1" customWidth="1"/>
    <col min="11778" max="11778" width="16.7109375" style="136" customWidth="1"/>
    <col min="11779" max="11779" width="18.42578125" style="136" customWidth="1"/>
    <col min="11780" max="11781" width="20.7109375" style="136" customWidth="1"/>
    <col min="11782" max="11782" width="18.140625" style="136" customWidth="1"/>
    <col min="11783" max="11783" width="19.42578125" style="136" customWidth="1"/>
    <col min="11784" max="11790" width="0" style="136" hidden="1" customWidth="1"/>
    <col min="11791" max="12030" width="9.140625" style="136"/>
    <col min="12031" max="12031" width="42.42578125" style="136" customWidth="1"/>
    <col min="12032" max="12032" width="14.85546875" style="136" customWidth="1"/>
    <col min="12033" max="12033" width="0" style="136" hidden="1" customWidth="1"/>
    <col min="12034" max="12034" width="16.7109375" style="136" customWidth="1"/>
    <col min="12035" max="12035" width="18.42578125" style="136" customWidth="1"/>
    <col min="12036" max="12037" width="20.7109375" style="136" customWidth="1"/>
    <col min="12038" max="12038" width="18.140625" style="136" customWidth="1"/>
    <col min="12039" max="12039" width="19.42578125" style="136" customWidth="1"/>
    <col min="12040" max="12046" width="0" style="136" hidden="1" customWidth="1"/>
    <col min="12047" max="12286" width="9.140625" style="136"/>
    <col min="12287" max="12287" width="42.42578125" style="136" customWidth="1"/>
    <col min="12288" max="12288" width="14.85546875" style="136" customWidth="1"/>
    <col min="12289" max="12289" width="0" style="136" hidden="1" customWidth="1"/>
    <col min="12290" max="12290" width="16.7109375" style="136" customWidth="1"/>
    <col min="12291" max="12291" width="18.42578125" style="136" customWidth="1"/>
    <col min="12292" max="12293" width="20.7109375" style="136" customWidth="1"/>
    <col min="12294" max="12294" width="18.140625" style="136" customWidth="1"/>
    <col min="12295" max="12295" width="19.42578125" style="136" customWidth="1"/>
    <col min="12296" max="12302" width="0" style="136" hidden="1" customWidth="1"/>
    <col min="12303" max="12542" width="9.140625" style="136"/>
    <col min="12543" max="12543" width="42.42578125" style="136" customWidth="1"/>
    <col min="12544" max="12544" width="14.85546875" style="136" customWidth="1"/>
    <col min="12545" max="12545" width="0" style="136" hidden="1" customWidth="1"/>
    <col min="12546" max="12546" width="16.7109375" style="136" customWidth="1"/>
    <col min="12547" max="12547" width="18.42578125" style="136" customWidth="1"/>
    <col min="12548" max="12549" width="20.7109375" style="136" customWidth="1"/>
    <col min="12550" max="12550" width="18.140625" style="136" customWidth="1"/>
    <col min="12551" max="12551" width="19.42578125" style="136" customWidth="1"/>
    <col min="12552" max="12558" width="0" style="136" hidden="1" customWidth="1"/>
    <col min="12559" max="12798" width="9.140625" style="136"/>
    <col min="12799" max="12799" width="42.42578125" style="136" customWidth="1"/>
    <col min="12800" max="12800" width="14.85546875" style="136" customWidth="1"/>
    <col min="12801" max="12801" width="0" style="136" hidden="1" customWidth="1"/>
    <col min="12802" max="12802" width="16.7109375" style="136" customWidth="1"/>
    <col min="12803" max="12803" width="18.42578125" style="136" customWidth="1"/>
    <col min="12804" max="12805" width="20.7109375" style="136" customWidth="1"/>
    <col min="12806" max="12806" width="18.140625" style="136" customWidth="1"/>
    <col min="12807" max="12807" width="19.42578125" style="136" customWidth="1"/>
    <col min="12808" max="12814" width="0" style="136" hidden="1" customWidth="1"/>
    <col min="12815" max="13054" width="9.140625" style="136"/>
    <col min="13055" max="13055" width="42.42578125" style="136" customWidth="1"/>
    <col min="13056" max="13056" width="14.85546875" style="136" customWidth="1"/>
    <col min="13057" max="13057" width="0" style="136" hidden="1" customWidth="1"/>
    <col min="13058" max="13058" width="16.7109375" style="136" customWidth="1"/>
    <col min="13059" max="13059" width="18.42578125" style="136" customWidth="1"/>
    <col min="13060" max="13061" width="20.7109375" style="136" customWidth="1"/>
    <col min="13062" max="13062" width="18.140625" style="136" customWidth="1"/>
    <col min="13063" max="13063" width="19.42578125" style="136" customWidth="1"/>
    <col min="13064" max="13070" width="0" style="136" hidden="1" customWidth="1"/>
    <col min="13071" max="13310" width="9.140625" style="136"/>
    <col min="13311" max="13311" width="42.42578125" style="136" customWidth="1"/>
    <col min="13312" max="13312" width="14.85546875" style="136" customWidth="1"/>
    <col min="13313" max="13313" width="0" style="136" hidden="1" customWidth="1"/>
    <col min="13314" max="13314" width="16.7109375" style="136" customWidth="1"/>
    <col min="13315" max="13315" width="18.42578125" style="136" customWidth="1"/>
    <col min="13316" max="13317" width="20.7109375" style="136" customWidth="1"/>
    <col min="13318" max="13318" width="18.140625" style="136" customWidth="1"/>
    <col min="13319" max="13319" width="19.42578125" style="136" customWidth="1"/>
    <col min="13320" max="13326" width="0" style="136" hidden="1" customWidth="1"/>
    <col min="13327" max="13566" width="9.140625" style="136"/>
    <col min="13567" max="13567" width="42.42578125" style="136" customWidth="1"/>
    <col min="13568" max="13568" width="14.85546875" style="136" customWidth="1"/>
    <col min="13569" max="13569" width="0" style="136" hidden="1" customWidth="1"/>
    <col min="13570" max="13570" width="16.7109375" style="136" customWidth="1"/>
    <col min="13571" max="13571" width="18.42578125" style="136" customWidth="1"/>
    <col min="13572" max="13573" width="20.7109375" style="136" customWidth="1"/>
    <col min="13574" max="13574" width="18.140625" style="136" customWidth="1"/>
    <col min="13575" max="13575" width="19.42578125" style="136" customWidth="1"/>
    <col min="13576" max="13582" width="0" style="136" hidden="1" customWidth="1"/>
    <col min="13583" max="13822" width="9.140625" style="136"/>
    <col min="13823" max="13823" width="42.42578125" style="136" customWidth="1"/>
    <col min="13824" max="13824" width="14.85546875" style="136" customWidth="1"/>
    <col min="13825" max="13825" width="0" style="136" hidden="1" customWidth="1"/>
    <col min="13826" max="13826" width="16.7109375" style="136" customWidth="1"/>
    <col min="13827" max="13827" width="18.42578125" style="136" customWidth="1"/>
    <col min="13828" max="13829" width="20.7109375" style="136" customWidth="1"/>
    <col min="13830" max="13830" width="18.140625" style="136" customWidth="1"/>
    <col min="13831" max="13831" width="19.42578125" style="136" customWidth="1"/>
    <col min="13832" max="13838" width="0" style="136" hidden="1" customWidth="1"/>
    <col min="13839" max="14078" width="9.140625" style="136"/>
    <col min="14079" max="14079" width="42.42578125" style="136" customWidth="1"/>
    <col min="14080" max="14080" width="14.85546875" style="136" customWidth="1"/>
    <col min="14081" max="14081" width="0" style="136" hidden="1" customWidth="1"/>
    <col min="14082" max="14082" width="16.7109375" style="136" customWidth="1"/>
    <col min="14083" max="14083" width="18.42578125" style="136" customWidth="1"/>
    <col min="14084" max="14085" width="20.7109375" style="136" customWidth="1"/>
    <col min="14086" max="14086" width="18.140625" style="136" customWidth="1"/>
    <col min="14087" max="14087" width="19.42578125" style="136" customWidth="1"/>
    <col min="14088" max="14094" width="0" style="136" hidden="1" customWidth="1"/>
    <col min="14095" max="14334" width="9.140625" style="136"/>
    <col min="14335" max="14335" width="42.42578125" style="136" customWidth="1"/>
    <col min="14336" max="14336" width="14.85546875" style="136" customWidth="1"/>
    <col min="14337" max="14337" width="0" style="136" hidden="1" customWidth="1"/>
    <col min="14338" max="14338" width="16.7109375" style="136" customWidth="1"/>
    <col min="14339" max="14339" width="18.42578125" style="136" customWidth="1"/>
    <col min="14340" max="14341" width="20.7109375" style="136" customWidth="1"/>
    <col min="14342" max="14342" width="18.140625" style="136" customWidth="1"/>
    <col min="14343" max="14343" width="19.42578125" style="136" customWidth="1"/>
    <col min="14344" max="14350" width="0" style="136" hidden="1" customWidth="1"/>
    <col min="14351" max="14590" width="9.140625" style="136"/>
    <col min="14591" max="14591" width="42.42578125" style="136" customWidth="1"/>
    <col min="14592" max="14592" width="14.85546875" style="136" customWidth="1"/>
    <col min="14593" max="14593" width="0" style="136" hidden="1" customWidth="1"/>
    <col min="14594" max="14594" width="16.7109375" style="136" customWidth="1"/>
    <col min="14595" max="14595" width="18.42578125" style="136" customWidth="1"/>
    <col min="14596" max="14597" width="20.7109375" style="136" customWidth="1"/>
    <col min="14598" max="14598" width="18.140625" style="136" customWidth="1"/>
    <col min="14599" max="14599" width="19.42578125" style="136" customWidth="1"/>
    <col min="14600" max="14606" width="0" style="136" hidden="1" customWidth="1"/>
    <col min="14607" max="14846" width="9.140625" style="136"/>
    <col min="14847" max="14847" width="42.42578125" style="136" customWidth="1"/>
    <col min="14848" max="14848" width="14.85546875" style="136" customWidth="1"/>
    <col min="14849" max="14849" width="0" style="136" hidden="1" customWidth="1"/>
    <col min="14850" max="14850" width="16.7109375" style="136" customWidth="1"/>
    <col min="14851" max="14851" width="18.42578125" style="136" customWidth="1"/>
    <col min="14852" max="14853" width="20.7109375" style="136" customWidth="1"/>
    <col min="14854" max="14854" width="18.140625" style="136" customWidth="1"/>
    <col min="14855" max="14855" width="19.42578125" style="136" customWidth="1"/>
    <col min="14856" max="14862" width="0" style="136" hidden="1" customWidth="1"/>
    <col min="14863" max="15102" width="9.140625" style="136"/>
    <col min="15103" max="15103" width="42.42578125" style="136" customWidth="1"/>
    <col min="15104" max="15104" width="14.85546875" style="136" customWidth="1"/>
    <col min="15105" max="15105" width="0" style="136" hidden="1" customWidth="1"/>
    <col min="15106" max="15106" width="16.7109375" style="136" customWidth="1"/>
    <col min="15107" max="15107" width="18.42578125" style="136" customWidth="1"/>
    <col min="15108" max="15109" width="20.7109375" style="136" customWidth="1"/>
    <col min="15110" max="15110" width="18.140625" style="136" customWidth="1"/>
    <col min="15111" max="15111" width="19.42578125" style="136" customWidth="1"/>
    <col min="15112" max="15118" width="0" style="136" hidden="1" customWidth="1"/>
    <col min="15119" max="15358" width="9.140625" style="136"/>
    <col min="15359" max="15359" width="42.42578125" style="136" customWidth="1"/>
    <col min="15360" max="15360" width="14.85546875" style="136" customWidth="1"/>
    <col min="15361" max="15361" width="0" style="136" hidden="1" customWidth="1"/>
    <col min="15362" max="15362" width="16.7109375" style="136" customWidth="1"/>
    <col min="15363" max="15363" width="18.42578125" style="136" customWidth="1"/>
    <col min="15364" max="15365" width="20.7109375" style="136" customWidth="1"/>
    <col min="15366" max="15366" width="18.140625" style="136" customWidth="1"/>
    <col min="15367" max="15367" width="19.42578125" style="136" customWidth="1"/>
    <col min="15368" max="15374" width="0" style="136" hidden="1" customWidth="1"/>
    <col min="15375" max="15614" width="9.140625" style="136"/>
    <col min="15615" max="15615" width="42.42578125" style="136" customWidth="1"/>
    <col min="15616" max="15616" width="14.85546875" style="136" customWidth="1"/>
    <col min="15617" max="15617" width="0" style="136" hidden="1" customWidth="1"/>
    <col min="15618" max="15618" width="16.7109375" style="136" customWidth="1"/>
    <col min="15619" max="15619" width="18.42578125" style="136" customWidth="1"/>
    <col min="15620" max="15621" width="20.7109375" style="136" customWidth="1"/>
    <col min="15622" max="15622" width="18.140625" style="136" customWidth="1"/>
    <col min="15623" max="15623" width="19.42578125" style="136" customWidth="1"/>
    <col min="15624" max="15630" width="0" style="136" hidden="1" customWidth="1"/>
    <col min="15631" max="15870" width="9.140625" style="136"/>
    <col min="15871" max="15871" width="42.42578125" style="136" customWidth="1"/>
    <col min="15872" max="15872" width="14.85546875" style="136" customWidth="1"/>
    <col min="15873" max="15873" width="0" style="136" hidden="1" customWidth="1"/>
    <col min="15874" max="15874" width="16.7109375" style="136" customWidth="1"/>
    <col min="15875" max="15875" width="18.42578125" style="136" customWidth="1"/>
    <col min="15876" max="15877" width="20.7109375" style="136" customWidth="1"/>
    <col min="15878" max="15878" width="18.140625" style="136" customWidth="1"/>
    <col min="15879" max="15879" width="19.42578125" style="136" customWidth="1"/>
    <col min="15880" max="15886" width="0" style="136" hidden="1" customWidth="1"/>
    <col min="15887" max="16126" width="9.140625" style="136"/>
    <col min="16127" max="16127" width="42.42578125" style="136" customWidth="1"/>
    <col min="16128" max="16128" width="14.85546875" style="136" customWidth="1"/>
    <col min="16129" max="16129" width="0" style="136" hidden="1" customWidth="1"/>
    <col min="16130" max="16130" width="16.7109375" style="136" customWidth="1"/>
    <col min="16131" max="16131" width="18.42578125" style="136" customWidth="1"/>
    <col min="16132" max="16133" width="20.7109375" style="136" customWidth="1"/>
    <col min="16134" max="16134" width="18.140625" style="136" customWidth="1"/>
    <col min="16135" max="16135" width="19.42578125" style="136" customWidth="1"/>
    <col min="16136" max="16142" width="0" style="136" hidden="1" customWidth="1"/>
    <col min="16143" max="16384" width="9.140625" style="136"/>
  </cols>
  <sheetData>
    <row r="1" spans="1:14">
      <c r="A1" s="446" t="s">
        <v>181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  <c r="N1" s="446"/>
    </row>
    <row r="2" spans="1:14">
      <c r="A2" s="206"/>
      <c r="B2" s="446" t="s">
        <v>197</v>
      </c>
      <c r="C2" s="446"/>
      <c r="D2" s="446"/>
      <c r="E2" s="446"/>
      <c r="F2" s="206"/>
      <c r="G2" s="206"/>
      <c r="H2" s="206"/>
      <c r="I2" s="206"/>
      <c r="J2" s="206"/>
      <c r="K2" s="206"/>
      <c r="L2" s="206"/>
      <c r="M2" s="206"/>
      <c r="N2" s="206"/>
    </row>
    <row r="3" spans="1:14">
      <c r="A3" s="457" t="s">
        <v>372</v>
      </c>
      <c r="B3" s="457"/>
      <c r="C3" s="457"/>
      <c r="D3" s="457"/>
      <c r="E3" s="457"/>
      <c r="F3" s="214"/>
      <c r="G3" s="214"/>
      <c r="H3" s="206"/>
      <c r="I3" s="206"/>
      <c r="J3" s="206"/>
      <c r="K3" s="206"/>
      <c r="L3" s="206"/>
      <c r="M3" s="206"/>
      <c r="N3" s="206"/>
    </row>
    <row r="4" spans="1:14" ht="16.5" customHeight="1">
      <c r="A4" s="442" t="s">
        <v>264</v>
      </c>
      <c r="B4" s="442"/>
      <c r="C4" s="442"/>
      <c r="D4" s="442"/>
      <c r="E4" s="442"/>
      <c r="F4" s="442"/>
      <c r="G4" s="442"/>
      <c r="H4" s="152"/>
      <c r="I4" s="137"/>
      <c r="J4" s="137"/>
      <c r="K4" s="137"/>
      <c r="L4" s="137"/>
      <c r="M4" s="137"/>
      <c r="N4" s="137"/>
    </row>
    <row r="5" spans="1:14" s="139" customFormat="1" ht="17.25" hidden="1" customHeight="1" thickBot="1">
      <c r="A5" s="138"/>
      <c r="B5" s="138"/>
      <c r="C5" s="138"/>
      <c r="D5" s="138"/>
      <c r="E5" s="138"/>
      <c r="F5" s="138"/>
      <c r="G5" s="138"/>
      <c r="H5" s="136"/>
      <c r="I5" s="136"/>
      <c r="J5" s="136"/>
      <c r="K5" s="136"/>
      <c r="L5" s="136"/>
      <c r="M5" s="136"/>
      <c r="N5" s="136"/>
    </row>
    <row r="6" spans="1:14" s="139" customFormat="1" ht="24.75" customHeight="1">
      <c r="A6" s="441" t="s">
        <v>265</v>
      </c>
      <c r="B6" s="441"/>
      <c r="C6" s="441"/>
      <c r="D6" s="441"/>
      <c r="E6" s="441"/>
      <c r="F6" s="162"/>
      <c r="G6" s="162"/>
      <c r="H6" s="140"/>
      <c r="I6" s="136"/>
      <c r="J6" s="136"/>
      <c r="K6" s="136"/>
      <c r="L6" s="136"/>
      <c r="M6" s="136"/>
      <c r="N6" s="136"/>
    </row>
    <row r="7" spans="1:14" s="139" customFormat="1" ht="24.75" customHeight="1">
      <c r="A7" s="448" t="s">
        <v>374</v>
      </c>
      <c r="B7" s="448"/>
      <c r="C7" s="448"/>
      <c r="D7" s="448"/>
      <c r="E7" s="448"/>
      <c r="F7" s="447"/>
      <c r="G7" s="447"/>
      <c r="H7" s="140"/>
      <c r="I7" s="136"/>
      <c r="J7" s="136"/>
      <c r="K7" s="136"/>
      <c r="L7" s="136"/>
      <c r="M7" s="136"/>
      <c r="N7" s="136"/>
    </row>
    <row r="8" spans="1:14" s="139" customFormat="1" ht="41.25" customHeight="1">
      <c r="A8" s="175" t="s">
        <v>182</v>
      </c>
      <c r="B8" s="176" t="s">
        <v>183</v>
      </c>
      <c r="C8" s="176" t="s">
        <v>184</v>
      </c>
      <c r="D8" s="176" t="s">
        <v>180</v>
      </c>
      <c r="E8" s="177" t="s">
        <v>185</v>
      </c>
      <c r="F8" s="163"/>
      <c r="G8" s="163"/>
      <c r="H8" s="136"/>
      <c r="I8" s="136"/>
      <c r="J8" s="136"/>
      <c r="K8" s="136"/>
      <c r="L8" s="136"/>
      <c r="M8" s="136"/>
      <c r="N8" s="136"/>
    </row>
    <row r="9" spans="1:14" s="143" customFormat="1" ht="20.100000000000001" customHeight="1">
      <c r="A9" s="169" t="s">
        <v>188</v>
      </c>
      <c r="B9" s="167"/>
      <c r="C9" s="167"/>
      <c r="D9" s="167"/>
      <c r="E9" s="170"/>
      <c r="F9" s="165"/>
      <c r="G9" s="165"/>
    </row>
    <row r="10" spans="1:14" s="139" customFormat="1" ht="15" customHeight="1">
      <c r="A10" s="171" t="s">
        <v>189</v>
      </c>
      <c r="B10" s="150"/>
      <c r="C10" s="144">
        <v>44</v>
      </c>
      <c r="D10" s="142">
        <f>'VI - Demonstrativo final REAL'!G22</f>
        <v>82757.180548550168</v>
      </c>
      <c r="E10" s="230">
        <f>D10*12</f>
        <v>993086.16658260208</v>
      </c>
      <c r="F10" s="232"/>
      <c r="G10" s="164"/>
      <c r="H10" s="136"/>
      <c r="I10" s="136"/>
      <c r="J10" s="136"/>
      <c r="K10" s="136"/>
      <c r="L10" s="136"/>
      <c r="M10" s="136"/>
      <c r="N10" s="136"/>
    </row>
    <row r="11" spans="1:14" s="139" customFormat="1" ht="15" customHeight="1">
      <c r="A11" s="168" t="s">
        <v>190</v>
      </c>
      <c r="B11" s="150"/>
      <c r="C11" s="144">
        <v>44</v>
      </c>
      <c r="D11" s="142">
        <f>'VI - Demonstrativo final REAL'!G28</f>
        <v>38482.12391921645</v>
      </c>
      <c r="E11" s="230">
        <f>D11*12</f>
        <v>461785.4870305974</v>
      </c>
      <c r="F11" s="232"/>
      <c r="G11" s="164"/>
      <c r="H11" s="145" t="s">
        <v>186</v>
      </c>
      <c r="I11" s="136"/>
      <c r="J11" s="136"/>
      <c r="K11" s="136"/>
      <c r="L11" s="136"/>
      <c r="M11" s="136"/>
      <c r="N11" s="136"/>
    </row>
    <row r="12" spans="1:14" s="139" customFormat="1" ht="15" customHeight="1">
      <c r="A12" s="168" t="s">
        <v>2</v>
      </c>
      <c r="B12" s="151"/>
      <c r="C12" s="144"/>
      <c r="D12" s="142">
        <f>'VI - Demonstrativo final REAL'!J34</f>
        <v>440.70328475524866</v>
      </c>
      <c r="E12" s="230">
        <f>D12*12</f>
        <v>5288.4394170629839</v>
      </c>
      <c r="F12" s="232"/>
      <c r="G12" s="164"/>
      <c r="H12" s="145"/>
      <c r="I12" s="136"/>
      <c r="J12" s="136"/>
      <c r="K12" s="136"/>
      <c r="L12" s="136"/>
      <c r="M12" s="136"/>
      <c r="N12" s="136"/>
    </row>
    <row r="13" spans="1:14" s="139" customFormat="1" ht="27" customHeight="1" thickBot="1">
      <c r="A13" s="455" t="s">
        <v>196</v>
      </c>
      <c r="B13" s="456"/>
      <c r="C13" s="456"/>
      <c r="D13" s="172">
        <f>SUM(D9:D12)</f>
        <v>121680.00775252187</v>
      </c>
      <c r="E13" s="231">
        <f>SUM(E10:E12)</f>
        <v>1460160.0930302625</v>
      </c>
      <c r="F13" s="233"/>
      <c r="G13" s="166"/>
      <c r="H13" s="146"/>
      <c r="I13" s="136"/>
      <c r="J13" s="136"/>
      <c r="K13" s="136"/>
      <c r="L13" s="136"/>
      <c r="M13" s="136"/>
      <c r="N13" s="136"/>
    </row>
    <row r="14" spans="1:14" ht="30.75" customHeight="1">
      <c r="A14" s="147"/>
      <c r="B14" s="147"/>
      <c r="C14" s="147"/>
      <c r="D14" s="147"/>
      <c r="E14" s="153"/>
      <c r="F14" s="148"/>
      <c r="G14" s="148"/>
      <c r="H14" s="139"/>
      <c r="I14" s="139"/>
      <c r="J14" s="139"/>
      <c r="K14" s="139"/>
      <c r="L14" s="139"/>
      <c r="M14" s="139"/>
      <c r="N14" s="139"/>
    </row>
    <row r="15" spans="1:14" ht="31.5" hidden="1" customHeight="1">
      <c r="A15" s="443" t="s">
        <v>198</v>
      </c>
      <c r="B15" s="443"/>
      <c r="C15" s="443"/>
      <c r="D15" s="443"/>
      <c r="E15" s="443"/>
      <c r="F15" s="443"/>
      <c r="G15" s="443"/>
      <c r="H15" s="139"/>
      <c r="I15" s="139"/>
      <c r="J15" s="139"/>
      <c r="K15" s="139"/>
      <c r="L15" s="139"/>
      <c r="M15" s="139"/>
      <c r="N15" s="139"/>
    </row>
    <row r="16" spans="1:14" ht="13.5" hidden="1" customHeight="1" thickBot="1">
      <c r="A16" s="159"/>
      <c r="B16" s="159"/>
      <c r="C16" s="159"/>
      <c r="D16" s="159"/>
      <c r="E16" s="159"/>
      <c r="F16" s="159"/>
      <c r="G16" s="159"/>
      <c r="H16" s="139"/>
      <c r="I16" s="139"/>
      <c r="J16" s="139"/>
      <c r="K16" s="139"/>
      <c r="L16" s="139"/>
      <c r="M16" s="139"/>
      <c r="N16" s="139"/>
    </row>
    <row r="17" spans="1:14" ht="15.75" hidden="1" thickBot="1">
      <c r="A17" s="452" t="s">
        <v>195</v>
      </c>
      <c r="B17" s="453"/>
      <c r="C17" s="453"/>
      <c r="D17" s="453"/>
      <c r="E17" s="453"/>
      <c r="F17" s="453"/>
      <c r="G17" s="454"/>
      <c r="H17" s="139"/>
      <c r="I17" s="139"/>
      <c r="J17" s="139"/>
      <c r="K17" s="139"/>
      <c r="L17" s="139"/>
      <c r="M17" s="139"/>
      <c r="N17" s="139"/>
    </row>
    <row r="18" spans="1:14" ht="15" hidden="1" customHeight="1">
      <c r="A18" s="444" t="s">
        <v>380</v>
      </c>
      <c r="B18" s="449" t="s">
        <v>191</v>
      </c>
      <c r="C18" s="450"/>
      <c r="D18" s="449" t="s">
        <v>193</v>
      </c>
      <c r="E18" s="450"/>
      <c r="F18" s="451" t="s">
        <v>194</v>
      </c>
      <c r="G18" s="451"/>
      <c r="H18" s="139"/>
      <c r="I18" s="139"/>
      <c r="J18" s="139"/>
      <c r="K18" s="139"/>
      <c r="L18" s="139"/>
      <c r="M18" s="139"/>
      <c r="N18" s="139"/>
    </row>
    <row r="19" spans="1:14" ht="28.5" hidden="1" customHeight="1">
      <c r="A19" s="445"/>
      <c r="B19" s="154" t="s">
        <v>192</v>
      </c>
      <c r="C19" s="154" t="s">
        <v>185</v>
      </c>
      <c r="D19" s="154" t="s">
        <v>192</v>
      </c>
      <c r="E19" s="154" t="s">
        <v>185</v>
      </c>
      <c r="F19" s="154" t="s">
        <v>192</v>
      </c>
      <c r="G19" s="154" t="s">
        <v>185</v>
      </c>
    </row>
    <row r="20" spans="1:14" hidden="1">
      <c r="A20" s="141" t="s">
        <v>168</v>
      </c>
      <c r="B20" s="155">
        <f>'VI - Demonstrativo final REAL'!D53</f>
        <v>121680.00775252187</v>
      </c>
      <c r="C20" s="155">
        <f>B20*12</f>
        <v>1460160.0930302623</v>
      </c>
      <c r="D20" s="157">
        <f>B20*0.94</f>
        <v>114379.20728737055</v>
      </c>
      <c r="E20" s="158">
        <f>D20*12</f>
        <v>1372550.4874484465</v>
      </c>
      <c r="F20" s="155">
        <f>B20*0.9</f>
        <v>109512.00697726969</v>
      </c>
      <c r="G20" s="155">
        <f>F20*12</f>
        <v>1314144.0837272364</v>
      </c>
    </row>
    <row r="21" spans="1:14" ht="15.75" hidden="1" thickBot="1">
      <c r="A21" s="178" t="s">
        <v>187</v>
      </c>
      <c r="B21" s="161">
        <f t="shared" ref="B21:G21" si="0">SUM(B20:B20)</f>
        <v>121680.00775252187</v>
      </c>
      <c r="C21" s="156">
        <f t="shared" si="0"/>
        <v>1460160.0930302623</v>
      </c>
      <c r="D21" s="160">
        <f t="shared" si="0"/>
        <v>114379.20728737055</v>
      </c>
      <c r="E21" s="156">
        <f t="shared" si="0"/>
        <v>1372550.4874484465</v>
      </c>
      <c r="F21" s="160">
        <f t="shared" si="0"/>
        <v>109512.00697726969</v>
      </c>
      <c r="G21" s="156">
        <f t="shared" si="0"/>
        <v>1314144.0837272364</v>
      </c>
    </row>
    <row r="22" spans="1:14" ht="32.25" hidden="1" customHeight="1" thickTop="1">
      <c r="E22" s="440" t="s">
        <v>373</v>
      </c>
      <c r="F22" s="440"/>
      <c r="G22" s="440"/>
    </row>
    <row r="108" spans="1:10">
      <c r="A108" s="136"/>
      <c r="B108" s="136"/>
      <c r="C108" s="136"/>
      <c r="D108" s="136"/>
      <c r="E108" s="136"/>
      <c r="F108" s="136"/>
      <c r="G108" s="136"/>
      <c r="I108" s="149"/>
      <c r="J108" s="149"/>
    </row>
  </sheetData>
  <mergeCells count="15">
    <mergeCell ref="A1:N1"/>
    <mergeCell ref="F7:G7"/>
    <mergeCell ref="A7:E7"/>
    <mergeCell ref="B18:C18"/>
    <mergeCell ref="D18:E18"/>
    <mergeCell ref="F18:G18"/>
    <mergeCell ref="A17:G17"/>
    <mergeCell ref="A13:C13"/>
    <mergeCell ref="B2:E2"/>
    <mergeCell ref="A3:E3"/>
    <mergeCell ref="E22:G22"/>
    <mergeCell ref="A6:E6"/>
    <mergeCell ref="A4:G4"/>
    <mergeCell ref="A15:G15"/>
    <mergeCell ref="A18:A19"/>
  </mergeCells>
  <printOptions horizontalCentered="1"/>
  <pageMargins left="0.59055118110236227" right="0.98425196850393704" top="1.1811023622047245" bottom="0.78740157480314965" header="0.51181102362204722" footer="0.51181102362204722"/>
  <pageSetup paperSize="9" scale="82" orientation="landscape" r:id="rId1"/>
  <headerFooter>
    <oddHeader xml:space="preserve">&amp;CMINISTERIO DA EDUCAÇAO
SECRETARIA DE EDUCAÇAO PROFISSIONAL E MINISTERIO DA EDUCAÇAO
SECRETARIA DE EDUCAÇAO PROFISSIONAL E TECNOLOGICA
INSTITUTO FEDERAL DE EDUCAÇÃO, CIÊNCIA E TECNOLOGIA DE RORAIMA
DEPARTAMENTO DE COMPRAS/REITORIA
</oddHeader>
    <oddFooter>&amp;L&amp;D&amp;C&amp;Z&amp;F&amp;RPágina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L167"/>
  <sheetViews>
    <sheetView topLeftCell="A163" zoomScale="110" zoomScaleNormal="110" workbookViewId="0">
      <selection activeCell="F181" sqref="F181"/>
    </sheetView>
  </sheetViews>
  <sheetFormatPr defaultRowHeight="12.75"/>
  <cols>
    <col min="1" max="1" width="10" style="62" bestFit="1" customWidth="1"/>
    <col min="2" max="2" width="9.140625" style="62"/>
    <col min="3" max="3" width="12.28515625" style="62" customWidth="1"/>
    <col min="4" max="4" width="9.28515625" style="62" customWidth="1"/>
    <col min="5" max="5" width="10.85546875" style="62" bestFit="1" customWidth="1"/>
    <col min="6" max="6" width="12.7109375" style="62" customWidth="1"/>
    <col min="7" max="7" width="19.140625" style="62" customWidth="1"/>
    <col min="8" max="8" width="11.140625" style="62" customWidth="1"/>
    <col min="9" max="9" width="13.28515625" style="62" customWidth="1"/>
    <col min="10" max="10" width="21.140625" style="62" customWidth="1"/>
    <col min="11" max="11" width="1.7109375" style="62" customWidth="1"/>
    <col min="12" max="12" width="15.85546875" style="62" customWidth="1"/>
    <col min="13" max="13" width="9.5703125" style="62" bestFit="1" customWidth="1"/>
    <col min="14" max="16384" width="9.140625" style="62"/>
  </cols>
  <sheetData>
    <row r="1" spans="1:9">
      <c r="A1" s="577" t="s">
        <v>375</v>
      </c>
      <c r="B1" s="577"/>
      <c r="C1" s="577"/>
      <c r="D1" s="577"/>
      <c r="E1" s="577"/>
      <c r="F1" s="577"/>
      <c r="G1" s="577"/>
      <c r="H1" s="577"/>
      <c r="I1" s="577"/>
    </row>
    <row r="2" spans="1:9">
      <c r="A2" s="63" t="s">
        <v>372</v>
      </c>
      <c r="B2" s="63"/>
      <c r="C2" s="63"/>
      <c r="D2" s="63"/>
      <c r="E2" s="63"/>
      <c r="F2" s="63"/>
      <c r="G2" s="63"/>
      <c r="H2" s="63"/>
      <c r="I2" s="63"/>
    </row>
    <row r="3" spans="1:9">
      <c r="A3" s="63" t="s">
        <v>385</v>
      </c>
      <c r="B3" s="63"/>
      <c r="C3" s="63"/>
      <c r="D3" s="63"/>
      <c r="E3" s="63"/>
      <c r="F3" s="63"/>
      <c r="G3" s="63"/>
      <c r="H3" s="63"/>
      <c r="I3" s="63"/>
    </row>
    <row r="4" spans="1:9">
      <c r="A4" s="435" t="s">
        <v>371</v>
      </c>
      <c r="B4" s="435"/>
      <c r="C4" s="435"/>
      <c r="D4" s="63"/>
      <c r="E4" s="63"/>
      <c r="F4" s="63"/>
      <c r="G4" s="63"/>
      <c r="H4" s="63"/>
      <c r="I4" s="63"/>
    </row>
    <row r="5" spans="1:9">
      <c r="A5" s="578" t="s">
        <v>178</v>
      </c>
      <c r="B5" s="578"/>
      <c r="C5" s="578"/>
      <c r="D5" s="578"/>
      <c r="E5" s="578"/>
      <c r="F5" s="578"/>
      <c r="G5" s="578"/>
      <c r="H5" s="63"/>
      <c r="I5" s="63"/>
    </row>
    <row r="6" spans="1:9">
      <c r="A6" s="579" t="s">
        <v>45</v>
      </c>
      <c r="B6" s="579"/>
      <c r="C6" s="579"/>
      <c r="D6" s="579"/>
      <c r="E6" s="579"/>
      <c r="F6" s="579"/>
      <c r="G6" s="579"/>
      <c r="H6" s="579"/>
      <c r="I6" s="579"/>
    </row>
    <row r="7" spans="1:9">
      <c r="A7" s="208" t="s">
        <v>46</v>
      </c>
      <c r="B7" s="482" t="s">
        <v>47</v>
      </c>
      <c r="C7" s="482"/>
      <c r="D7" s="482"/>
      <c r="E7" s="482"/>
      <c r="F7" s="482"/>
      <c r="G7" s="482"/>
      <c r="H7" s="482"/>
      <c r="I7" s="64"/>
    </row>
    <row r="8" spans="1:9">
      <c r="A8" s="208" t="s">
        <v>48</v>
      </c>
      <c r="B8" s="482" t="s">
        <v>49</v>
      </c>
      <c r="C8" s="482"/>
      <c r="D8" s="482"/>
      <c r="E8" s="482"/>
      <c r="F8" s="482"/>
      <c r="G8" s="482"/>
      <c r="H8" s="482"/>
      <c r="I8" s="208" t="s">
        <v>167</v>
      </c>
    </row>
    <row r="9" spans="1:9">
      <c r="A9" s="208" t="s">
        <v>50</v>
      </c>
      <c r="B9" s="482" t="s">
        <v>319</v>
      </c>
      <c r="C9" s="482"/>
      <c r="D9" s="482"/>
      <c r="E9" s="482"/>
      <c r="F9" s="482"/>
      <c r="G9" s="482"/>
      <c r="H9" s="482"/>
      <c r="I9" s="208">
        <v>2017</v>
      </c>
    </row>
    <row r="10" spans="1:9">
      <c r="A10" s="208" t="s">
        <v>52</v>
      </c>
      <c r="B10" s="482" t="s">
        <v>53</v>
      </c>
      <c r="C10" s="482"/>
      <c r="D10" s="482"/>
      <c r="E10" s="482"/>
      <c r="F10" s="482"/>
      <c r="G10" s="482"/>
      <c r="H10" s="482"/>
      <c r="I10" s="208">
        <v>12</v>
      </c>
    </row>
    <row r="11" spans="1:9">
      <c r="A11" s="207"/>
      <c r="B11" s="211"/>
      <c r="C11" s="211"/>
      <c r="D11" s="211"/>
      <c r="E11" s="211"/>
      <c r="F11" s="211"/>
      <c r="G11" s="211"/>
      <c r="H11" s="207"/>
      <c r="I11" s="207"/>
    </row>
    <row r="12" spans="1:9">
      <c r="A12" s="579" t="s">
        <v>54</v>
      </c>
      <c r="B12" s="579"/>
      <c r="C12" s="579"/>
      <c r="D12" s="579"/>
      <c r="E12" s="579"/>
      <c r="F12" s="579"/>
      <c r="G12" s="579"/>
      <c r="H12" s="579"/>
      <c r="I12" s="579"/>
    </row>
    <row r="13" spans="1:9">
      <c r="A13" s="501" t="s">
        <v>55</v>
      </c>
      <c r="B13" s="501"/>
      <c r="C13" s="501" t="s">
        <v>56</v>
      </c>
      <c r="D13" s="501"/>
      <c r="E13" s="501" t="s">
        <v>57</v>
      </c>
      <c r="F13" s="501"/>
      <c r="G13" s="501"/>
      <c r="H13" s="501"/>
      <c r="I13" s="501"/>
    </row>
    <row r="14" spans="1:9">
      <c r="A14" s="501" t="s">
        <v>58</v>
      </c>
      <c r="B14" s="501"/>
      <c r="C14" s="501" t="s">
        <v>59</v>
      </c>
      <c r="D14" s="501"/>
      <c r="E14" s="501" t="s">
        <v>376</v>
      </c>
      <c r="F14" s="501"/>
      <c r="G14" s="501"/>
      <c r="H14" s="501"/>
      <c r="I14" s="501"/>
    </row>
    <row r="15" spans="1:9">
      <c r="A15" s="207"/>
      <c r="B15" s="211"/>
      <c r="C15" s="211"/>
      <c r="D15" s="211"/>
      <c r="E15" s="211"/>
      <c r="F15" s="211"/>
      <c r="G15" s="211"/>
      <c r="H15" s="207"/>
      <c r="I15" s="207"/>
    </row>
    <row r="16" spans="1:9">
      <c r="A16" s="579" t="s">
        <v>60</v>
      </c>
      <c r="B16" s="579"/>
      <c r="C16" s="579"/>
      <c r="D16" s="579"/>
      <c r="E16" s="579"/>
      <c r="F16" s="579"/>
      <c r="G16" s="579"/>
      <c r="H16" s="579"/>
      <c r="I16" s="579"/>
    </row>
    <row r="17" spans="1:9" ht="25.5">
      <c r="A17" s="208">
        <v>1</v>
      </c>
      <c r="B17" s="482" t="s">
        <v>61</v>
      </c>
      <c r="C17" s="482"/>
      <c r="D17" s="482"/>
      <c r="E17" s="482"/>
      <c r="F17" s="482"/>
      <c r="G17" s="482"/>
      <c r="H17" s="482"/>
      <c r="I17" s="65" t="s">
        <v>168</v>
      </c>
    </row>
    <row r="18" spans="1:9">
      <c r="A18" s="208">
        <v>2</v>
      </c>
      <c r="B18" s="482" t="s">
        <v>62</v>
      </c>
      <c r="C18" s="482"/>
      <c r="D18" s="482"/>
      <c r="E18" s="482"/>
      <c r="F18" s="482"/>
      <c r="G18" s="482"/>
      <c r="H18" s="482"/>
      <c r="I18" s="208" t="s">
        <v>169</v>
      </c>
    </row>
    <row r="19" spans="1:9">
      <c r="A19" s="208">
        <v>3</v>
      </c>
      <c r="B19" s="482" t="s">
        <v>63</v>
      </c>
      <c r="C19" s="482"/>
      <c r="D19" s="482"/>
      <c r="E19" s="482"/>
      <c r="F19" s="482"/>
      <c r="G19" s="482"/>
      <c r="H19" s="482"/>
      <c r="I19" s="66">
        <v>1200</v>
      </c>
    </row>
    <row r="20" spans="1:9">
      <c r="A20" s="208">
        <v>4</v>
      </c>
      <c r="B20" s="482" t="s">
        <v>64</v>
      </c>
      <c r="C20" s="482"/>
      <c r="D20" s="482"/>
      <c r="E20" s="482"/>
      <c r="F20" s="482"/>
      <c r="G20" s="482"/>
      <c r="H20" s="482"/>
      <c r="I20" s="411" t="s">
        <v>15</v>
      </c>
    </row>
    <row r="21" spans="1:9">
      <c r="A21" s="208">
        <v>5</v>
      </c>
      <c r="B21" s="482" t="s">
        <v>65</v>
      </c>
      <c r="C21" s="482"/>
      <c r="D21" s="482"/>
      <c r="E21" s="482"/>
      <c r="F21" s="482"/>
      <c r="G21" s="482"/>
      <c r="H21" s="482"/>
      <c r="I21" s="64" t="s">
        <v>170</v>
      </c>
    </row>
    <row r="22" spans="1:9">
      <c r="A22" s="307"/>
      <c r="B22" s="308"/>
      <c r="C22" s="308"/>
      <c r="D22" s="308"/>
      <c r="E22" s="308"/>
      <c r="F22" s="308"/>
      <c r="G22" s="308"/>
      <c r="H22" s="308"/>
      <c r="I22" s="309"/>
    </row>
    <row r="23" spans="1:9" ht="21.75" customHeight="1">
      <c r="A23" s="580" t="s">
        <v>321</v>
      </c>
      <c r="B23" s="581"/>
      <c r="C23" s="581"/>
      <c r="D23" s="581"/>
      <c r="E23" s="581"/>
      <c r="F23" s="581"/>
      <c r="G23" s="581"/>
      <c r="H23" s="581"/>
      <c r="I23" s="582"/>
    </row>
    <row r="24" spans="1:9">
      <c r="A24" s="528" t="s">
        <v>66</v>
      </c>
      <c r="B24" s="528"/>
      <c r="C24" s="528"/>
      <c r="D24" s="528"/>
      <c r="E24" s="528"/>
      <c r="F24" s="528"/>
      <c r="G24" s="528"/>
      <c r="H24" s="528"/>
      <c r="I24" s="528"/>
    </row>
    <row r="25" spans="1:9">
      <c r="A25" s="210">
        <v>1</v>
      </c>
      <c r="B25" s="500" t="s">
        <v>67</v>
      </c>
      <c r="C25" s="500"/>
      <c r="D25" s="500"/>
      <c r="E25" s="500"/>
      <c r="F25" s="500"/>
      <c r="G25" s="500"/>
      <c r="H25" s="210" t="s">
        <v>68</v>
      </c>
      <c r="I25" s="210" t="s">
        <v>69</v>
      </c>
    </row>
    <row r="26" spans="1:9">
      <c r="A26" s="210" t="s">
        <v>46</v>
      </c>
      <c r="B26" s="482" t="s">
        <v>70</v>
      </c>
      <c r="C26" s="482"/>
      <c r="D26" s="482"/>
      <c r="E26" s="482"/>
      <c r="F26" s="482"/>
      <c r="G26" s="482"/>
      <c r="H26" s="212"/>
      <c r="I26" s="67">
        <f>I19</f>
        <v>1200</v>
      </c>
    </row>
    <row r="27" spans="1:9">
      <c r="A27" s="210" t="s">
        <v>48</v>
      </c>
      <c r="B27" s="482" t="s">
        <v>71</v>
      </c>
      <c r="C27" s="482"/>
      <c r="D27" s="482"/>
      <c r="E27" s="482"/>
      <c r="F27" s="482"/>
      <c r="G27" s="482"/>
      <c r="H27" s="68"/>
      <c r="I27" s="67">
        <v>0</v>
      </c>
    </row>
    <row r="28" spans="1:9">
      <c r="A28" s="210" t="s">
        <v>50</v>
      </c>
      <c r="B28" s="482" t="s">
        <v>72</v>
      </c>
      <c r="C28" s="482"/>
      <c r="D28" s="482"/>
      <c r="E28" s="482"/>
      <c r="F28" s="482"/>
      <c r="G28" s="482"/>
      <c r="H28" s="68"/>
      <c r="I28" s="67">
        <f>H28*I26</f>
        <v>0</v>
      </c>
    </row>
    <row r="29" spans="1:9">
      <c r="A29" s="210" t="s">
        <v>52</v>
      </c>
      <c r="B29" s="482" t="s">
        <v>73</v>
      </c>
      <c r="C29" s="482"/>
      <c r="D29" s="482"/>
      <c r="E29" s="482"/>
      <c r="F29" s="482"/>
      <c r="G29" s="482"/>
      <c r="H29" s="68"/>
      <c r="I29" s="67">
        <v>0</v>
      </c>
    </row>
    <row r="30" spans="1:9">
      <c r="A30" s="69" t="s">
        <v>74</v>
      </c>
      <c r="B30" s="482" t="s">
        <v>75</v>
      </c>
      <c r="C30" s="482"/>
      <c r="D30" s="482"/>
      <c r="E30" s="482"/>
      <c r="F30" s="482"/>
      <c r="G30" s="482"/>
      <c r="H30" s="70"/>
      <c r="I30" s="67">
        <v>0</v>
      </c>
    </row>
    <row r="31" spans="1:9">
      <c r="A31" s="69" t="s">
        <v>76</v>
      </c>
      <c r="B31" s="482" t="s">
        <v>78</v>
      </c>
      <c r="C31" s="482"/>
      <c r="D31" s="482"/>
      <c r="E31" s="482"/>
      <c r="F31" s="482"/>
      <c r="G31" s="482"/>
      <c r="H31" s="68"/>
      <c r="I31" s="67">
        <v>0</v>
      </c>
    </row>
    <row r="32" spans="1:9">
      <c r="A32" s="572" t="s">
        <v>79</v>
      </c>
      <c r="B32" s="573"/>
      <c r="C32" s="573"/>
      <c r="D32" s="573"/>
      <c r="E32" s="573"/>
      <c r="F32" s="573"/>
      <c r="G32" s="573"/>
      <c r="H32" s="574"/>
      <c r="I32" s="71">
        <f>SUM(I26:I31)</f>
        <v>1200</v>
      </c>
    </row>
    <row r="33" spans="1:12">
      <c r="A33" s="575" t="s">
        <v>334</v>
      </c>
      <c r="B33" s="575"/>
      <c r="C33" s="575"/>
      <c r="D33" s="575"/>
      <c r="E33" s="575"/>
      <c r="F33" s="575"/>
      <c r="G33" s="575"/>
      <c r="H33" s="575"/>
      <c r="I33" s="575"/>
    </row>
    <row r="34" spans="1:12">
      <c r="A34" s="72"/>
      <c r="B34" s="72"/>
      <c r="C34" s="72"/>
      <c r="D34" s="72"/>
      <c r="E34" s="72"/>
      <c r="F34" s="72"/>
      <c r="G34" s="72"/>
      <c r="H34" s="72"/>
      <c r="I34" s="364"/>
    </row>
    <row r="35" spans="1:12">
      <c r="A35" s="528" t="s">
        <v>80</v>
      </c>
      <c r="B35" s="528"/>
      <c r="C35" s="528"/>
      <c r="D35" s="528"/>
      <c r="E35" s="528"/>
      <c r="F35" s="528"/>
      <c r="G35" s="528"/>
      <c r="H35" s="528"/>
      <c r="I35" s="528"/>
      <c r="J35" s="74"/>
    </row>
    <row r="36" spans="1:12">
      <c r="A36" s="500" t="s">
        <v>81</v>
      </c>
      <c r="B36" s="500"/>
      <c r="C36" s="500"/>
      <c r="D36" s="500"/>
      <c r="E36" s="500"/>
      <c r="F36" s="500"/>
      <c r="G36" s="500"/>
      <c r="H36" s="210" t="s">
        <v>68</v>
      </c>
      <c r="I36" s="210" t="s">
        <v>69</v>
      </c>
      <c r="J36" s="74"/>
    </row>
    <row r="37" spans="1:12">
      <c r="A37" s="210" t="s">
        <v>46</v>
      </c>
      <c r="B37" s="482" t="s">
        <v>320</v>
      </c>
      <c r="C37" s="482"/>
      <c r="D37" s="482"/>
      <c r="E37" s="482"/>
      <c r="F37" s="482"/>
      <c r="G37" s="482"/>
      <c r="H37" s="75">
        <f>1/12</f>
        <v>8.3333333333333329E-2</v>
      </c>
      <c r="I37" s="76">
        <f>$I$32*H37</f>
        <v>100</v>
      </c>
      <c r="J37" s="363"/>
    </row>
    <row r="38" spans="1:12" ht="16.5" customHeight="1">
      <c r="A38" s="210" t="s">
        <v>48</v>
      </c>
      <c r="B38" s="535" t="s">
        <v>368</v>
      </c>
      <c r="C38" s="536"/>
      <c r="D38" s="536"/>
      <c r="E38" s="536"/>
      <c r="F38" s="536"/>
      <c r="G38" s="537"/>
      <c r="H38" s="77">
        <f>((1/11)+((1/3)/11))</f>
        <v>0.12121212121212122</v>
      </c>
      <c r="I38" s="76">
        <f>H38*I32</f>
        <v>145.45454545454547</v>
      </c>
      <c r="J38" s="363"/>
    </row>
    <row r="39" spans="1:12">
      <c r="A39" s="500" t="s">
        <v>82</v>
      </c>
      <c r="B39" s="500"/>
      <c r="C39" s="500"/>
      <c r="D39" s="500"/>
      <c r="E39" s="500"/>
      <c r="F39" s="500"/>
      <c r="G39" s="500"/>
      <c r="H39" s="78">
        <f>TRUNC(SUM(H37:H38),4)</f>
        <v>0.20449999999999999</v>
      </c>
      <c r="I39" s="79">
        <f>TRUNC(SUM(I37:I38),2)</f>
        <v>245.45</v>
      </c>
      <c r="J39" s="74"/>
    </row>
    <row r="40" spans="1:12">
      <c r="A40" s="72"/>
      <c r="B40" s="72"/>
      <c r="C40" s="72"/>
      <c r="D40" s="72"/>
      <c r="E40" s="72"/>
      <c r="F40" s="72"/>
      <c r="G40" s="72"/>
      <c r="H40" s="310"/>
      <c r="I40" s="311"/>
      <c r="J40" s="74"/>
    </row>
    <row r="41" spans="1:12" ht="93.75" customHeight="1">
      <c r="A41" s="568" t="s">
        <v>335</v>
      </c>
      <c r="B41" s="536"/>
      <c r="C41" s="536"/>
      <c r="D41" s="536"/>
      <c r="E41" s="536"/>
      <c r="F41" s="536"/>
      <c r="G41" s="536"/>
      <c r="H41" s="536"/>
      <c r="I41" s="537"/>
      <c r="J41" s="74"/>
    </row>
    <row r="42" spans="1:12">
      <c r="A42" s="72"/>
      <c r="B42" s="72"/>
      <c r="C42" s="72"/>
      <c r="D42" s="72"/>
      <c r="E42" s="72"/>
      <c r="F42" s="72"/>
      <c r="G42" s="72"/>
      <c r="H42" s="310"/>
      <c r="I42" s="311"/>
      <c r="J42" s="74"/>
    </row>
    <row r="43" spans="1:12" ht="33" customHeight="1">
      <c r="A43" s="570" t="s">
        <v>336</v>
      </c>
      <c r="B43" s="571"/>
      <c r="C43" s="571"/>
      <c r="D43" s="571"/>
      <c r="E43" s="571"/>
      <c r="F43" s="571"/>
      <c r="G43" s="571"/>
      <c r="H43" s="571"/>
      <c r="I43" s="408">
        <f>I32+I39</f>
        <v>1445.45</v>
      </c>
      <c r="J43" s="74"/>
      <c r="K43" s="80"/>
      <c r="L43" s="81"/>
    </row>
    <row r="44" spans="1:12">
      <c r="A44" s="564" t="s">
        <v>83</v>
      </c>
      <c r="B44" s="564"/>
      <c r="C44" s="564"/>
      <c r="D44" s="564"/>
      <c r="E44" s="564"/>
      <c r="F44" s="564"/>
      <c r="G44" s="564"/>
      <c r="H44" s="409" t="s">
        <v>68</v>
      </c>
      <c r="I44" s="409" t="s">
        <v>69</v>
      </c>
      <c r="J44" s="74"/>
      <c r="K44" s="82"/>
      <c r="L44" s="81"/>
    </row>
    <row r="45" spans="1:12">
      <c r="A45" s="210" t="s">
        <v>46</v>
      </c>
      <c r="B45" s="482" t="s">
        <v>84</v>
      </c>
      <c r="C45" s="482"/>
      <c r="D45" s="482"/>
      <c r="E45" s="482"/>
      <c r="F45" s="482"/>
      <c r="G45" s="482"/>
      <c r="H45" s="75">
        <v>0.2</v>
      </c>
      <c r="I45" s="76">
        <f>H45*$I$43</f>
        <v>289.09000000000003</v>
      </c>
      <c r="J45" s="89"/>
      <c r="K45" s="80"/>
    </row>
    <row r="46" spans="1:12">
      <c r="A46" s="210" t="s">
        <v>48</v>
      </c>
      <c r="B46" s="482" t="s">
        <v>85</v>
      </c>
      <c r="C46" s="482"/>
      <c r="D46" s="482"/>
      <c r="E46" s="482"/>
      <c r="F46" s="482"/>
      <c r="G46" s="482"/>
      <c r="H46" s="75">
        <v>2.5000000000000001E-2</v>
      </c>
      <c r="I46" s="76">
        <f t="shared" ref="I46:I52" si="0">H46*$I$43</f>
        <v>36.136250000000004</v>
      </c>
      <c r="J46" s="74"/>
    </row>
    <row r="47" spans="1:12">
      <c r="A47" s="210" t="s">
        <v>50</v>
      </c>
      <c r="B47" s="482" t="s">
        <v>86</v>
      </c>
      <c r="C47" s="482"/>
      <c r="D47" s="482"/>
      <c r="E47" s="482"/>
      <c r="F47" s="482"/>
      <c r="G47" s="482"/>
      <c r="H47" s="83">
        <v>0.03</v>
      </c>
      <c r="I47" s="76">
        <f t="shared" si="0"/>
        <v>43.363500000000002</v>
      </c>
      <c r="J47" s="74"/>
    </row>
    <row r="48" spans="1:12">
      <c r="A48" s="210" t="s">
        <v>52</v>
      </c>
      <c r="B48" s="482" t="s">
        <v>87</v>
      </c>
      <c r="C48" s="482"/>
      <c r="D48" s="482"/>
      <c r="E48" s="482"/>
      <c r="F48" s="482"/>
      <c r="G48" s="482"/>
      <c r="H48" s="75">
        <v>1.4999999999999999E-2</v>
      </c>
      <c r="I48" s="76">
        <f t="shared" si="0"/>
        <v>21.681750000000001</v>
      </c>
      <c r="J48" s="74"/>
    </row>
    <row r="49" spans="1:11">
      <c r="A49" s="210" t="s">
        <v>74</v>
      </c>
      <c r="B49" s="482" t="s">
        <v>88</v>
      </c>
      <c r="C49" s="482"/>
      <c r="D49" s="482"/>
      <c r="E49" s="482"/>
      <c r="F49" s="482"/>
      <c r="G49" s="482"/>
      <c r="H49" s="75">
        <v>0.01</v>
      </c>
      <c r="I49" s="76">
        <f t="shared" si="0"/>
        <v>14.454500000000001</v>
      </c>
      <c r="J49" s="74"/>
    </row>
    <row r="50" spans="1:11">
      <c r="A50" s="210" t="s">
        <v>76</v>
      </c>
      <c r="B50" s="482" t="s">
        <v>89</v>
      </c>
      <c r="C50" s="482"/>
      <c r="D50" s="482"/>
      <c r="E50" s="482"/>
      <c r="F50" s="482"/>
      <c r="G50" s="482"/>
      <c r="H50" s="75">
        <v>6.0000000000000001E-3</v>
      </c>
      <c r="I50" s="76">
        <f t="shared" si="0"/>
        <v>8.6727000000000007</v>
      </c>
      <c r="J50" s="74"/>
    </row>
    <row r="51" spans="1:11">
      <c r="A51" s="210" t="s">
        <v>77</v>
      </c>
      <c r="B51" s="482" t="s">
        <v>90</v>
      </c>
      <c r="C51" s="482"/>
      <c r="D51" s="482"/>
      <c r="E51" s="482"/>
      <c r="F51" s="482"/>
      <c r="G51" s="482"/>
      <c r="H51" s="75">
        <v>2E-3</v>
      </c>
      <c r="I51" s="76">
        <f t="shared" si="0"/>
        <v>2.8909000000000002</v>
      </c>
      <c r="J51" s="74"/>
      <c r="K51" s="84"/>
    </row>
    <row r="52" spans="1:11" ht="13.5" customHeight="1">
      <c r="A52" s="210" t="s">
        <v>91</v>
      </c>
      <c r="B52" s="482" t="s">
        <v>92</v>
      </c>
      <c r="C52" s="482"/>
      <c r="D52" s="482"/>
      <c r="E52" s="482"/>
      <c r="F52" s="482"/>
      <c r="G52" s="482"/>
      <c r="H52" s="75">
        <v>0.08</v>
      </c>
      <c r="I52" s="76">
        <f t="shared" si="0"/>
        <v>115.63600000000001</v>
      </c>
      <c r="J52" s="74"/>
      <c r="K52" s="84"/>
    </row>
    <row r="53" spans="1:11">
      <c r="A53" s="569" t="s">
        <v>93</v>
      </c>
      <c r="B53" s="569"/>
      <c r="C53" s="569"/>
      <c r="D53" s="569"/>
      <c r="E53" s="569"/>
      <c r="F53" s="569"/>
      <c r="G53" s="569"/>
      <c r="H53" s="312">
        <f>SUM(H45:H52)</f>
        <v>0.36800000000000005</v>
      </c>
      <c r="I53" s="313">
        <f>TRUNC(SUM(I45:I52),2)</f>
        <v>531.91999999999996</v>
      </c>
      <c r="J53" s="74"/>
    </row>
    <row r="54" spans="1:11" ht="39.75" customHeight="1">
      <c r="A54" s="576" t="s">
        <v>337</v>
      </c>
      <c r="B54" s="576"/>
      <c r="C54" s="576"/>
      <c r="D54" s="576"/>
      <c r="E54" s="576"/>
      <c r="F54" s="576"/>
      <c r="G54" s="576"/>
      <c r="H54" s="576"/>
      <c r="I54" s="576"/>
      <c r="J54" s="74"/>
    </row>
    <row r="55" spans="1:11">
      <c r="A55" s="566"/>
      <c r="B55" s="566"/>
      <c r="C55" s="566"/>
      <c r="D55" s="566"/>
      <c r="E55" s="566"/>
      <c r="F55" s="566"/>
      <c r="G55" s="566"/>
      <c r="H55" s="566"/>
      <c r="I55" s="567"/>
      <c r="J55" s="74"/>
    </row>
    <row r="56" spans="1:11">
      <c r="A56" s="564" t="s">
        <v>94</v>
      </c>
      <c r="B56" s="564"/>
      <c r="C56" s="564"/>
      <c r="D56" s="564"/>
      <c r="E56" s="564"/>
      <c r="F56" s="564"/>
      <c r="G56" s="564"/>
      <c r="H56" s="410"/>
      <c r="I56" s="409" t="s">
        <v>69</v>
      </c>
      <c r="J56" s="74"/>
    </row>
    <row r="57" spans="1:11">
      <c r="A57" s="210" t="s">
        <v>46</v>
      </c>
      <c r="B57" s="511" t="s">
        <v>95</v>
      </c>
      <c r="C57" s="511"/>
      <c r="D57" s="511"/>
      <c r="E57" s="511"/>
      <c r="F57" s="511"/>
      <c r="G57" s="511"/>
      <c r="H57" s="208" t="s">
        <v>96</v>
      </c>
      <c r="I57" s="85">
        <f>(3.6*2*22)-(I26*0.06)</f>
        <v>86.4</v>
      </c>
      <c r="J57" s="74"/>
    </row>
    <row r="58" spans="1:11">
      <c r="A58" s="210" t="s">
        <v>48</v>
      </c>
      <c r="B58" s="511" t="s">
        <v>97</v>
      </c>
      <c r="C58" s="511"/>
      <c r="D58" s="511"/>
      <c r="E58" s="511"/>
      <c r="F58" s="511"/>
      <c r="G58" s="511"/>
      <c r="H58" s="208" t="s">
        <v>96</v>
      </c>
      <c r="I58" s="85">
        <f>14.75*22</f>
        <v>324.5</v>
      </c>
      <c r="J58" s="74"/>
    </row>
    <row r="59" spans="1:11">
      <c r="A59" s="210" t="s">
        <v>50</v>
      </c>
      <c r="B59" s="511" t="s">
        <v>98</v>
      </c>
      <c r="C59" s="511"/>
      <c r="D59" s="511"/>
      <c r="E59" s="511"/>
      <c r="F59" s="511"/>
      <c r="G59" s="511"/>
      <c r="H59" s="208" t="s">
        <v>96</v>
      </c>
      <c r="I59" s="85"/>
      <c r="J59" s="74"/>
    </row>
    <row r="60" spans="1:11">
      <c r="A60" s="210" t="s">
        <v>52</v>
      </c>
      <c r="B60" s="511" t="s">
        <v>78</v>
      </c>
      <c r="C60" s="511"/>
      <c r="D60" s="511"/>
      <c r="E60" s="511"/>
      <c r="F60" s="511"/>
      <c r="G60" s="511"/>
      <c r="H60" s="208" t="s">
        <v>96</v>
      </c>
      <c r="I60" s="85">
        <v>0</v>
      </c>
      <c r="J60" s="74"/>
    </row>
    <row r="61" spans="1:11">
      <c r="A61" s="500" t="s">
        <v>99</v>
      </c>
      <c r="B61" s="500"/>
      <c r="C61" s="500"/>
      <c r="D61" s="500"/>
      <c r="E61" s="500"/>
      <c r="F61" s="500"/>
      <c r="G61" s="500"/>
      <c r="H61" s="500"/>
      <c r="I61" s="79">
        <f>TRUNC(SUM(I57:I60),2)</f>
        <v>410.9</v>
      </c>
      <c r="J61" s="74"/>
    </row>
    <row r="62" spans="1:11" ht="37.5" customHeight="1">
      <c r="A62" s="561" t="s">
        <v>338</v>
      </c>
      <c r="B62" s="562"/>
      <c r="C62" s="562"/>
      <c r="D62" s="562"/>
      <c r="E62" s="562"/>
      <c r="F62" s="562"/>
      <c r="G62" s="562"/>
      <c r="H62" s="562"/>
      <c r="I62" s="563"/>
      <c r="J62" s="74"/>
    </row>
    <row r="63" spans="1:11" ht="18.75" customHeight="1">
      <c r="A63" s="367"/>
      <c r="B63" s="367"/>
      <c r="C63" s="367"/>
      <c r="D63" s="367"/>
      <c r="E63" s="367"/>
      <c r="F63" s="367"/>
      <c r="G63" s="367"/>
      <c r="H63" s="367"/>
      <c r="I63" s="367"/>
      <c r="J63" s="74"/>
    </row>
    <row r="64" spans="1:11">
      <c r="A64" s="564" t="s">
        <v>100</v>
      </c>
      <c r="B64" s="564"/>
      <c r="C64" s="564"/>
      <c r="D64" s="564"/>
      <c r="E64" s="564"/>
      <c r="F64" s="564"/>
      <c r="G64" s="564"/>
      <c r="H64" s="564"/>
      <c r="I64" s="564"/>
      <c r="J64" s="74"/>
    </row>
    <row r="65" spans="1:10">
      <c r="A65" s="565" t="s">
        <v>101</v>
      </c>
      <c r="B65" s="565"/>
      <c r="C65" s="565"/>
      <c r="D65" s="565"/>
      <c r="E65" s="565"/>
      <c r="F65" s="565"/>
      <c r="G65" s="565"/>
      <c r="H65" s="565"/>
      <c r="I65" s="210" t="s">
        <v>69</v>
      </c>
      <c r="J65" s="74"/>
    </row>
    <row r="66" spans="1:10">
      <c r="A66" s="356" t="s">
        <v>102</v>
      </c>
      <c r="B66" s="482" t="s">
        <v>103</v>
      </c>
      <c r="C66" s="482"/>
      <c r="D66" s="482"/>
      <c r="E66" s="482"/>
      <c r="F66" s="482"/>
      <c r="G66" s="482"/>
      <c r="H66" s="482"/>
      <c r="I66" s="76">
        <f>I39</f>
        <v>245.45</v>
      </c>
      <c r="J66" s="74"/>
    </row>
    <row r="67" spans="1:10">
      <c r="A67" s="368" t="s">
        <v>104</v>
      </c>
      <c r="B67" s="482" t="s">
        <v>105</v>
      </c>
      <c r="C67" s="482"/>
      <c r="D67" s="482"/>
      <c r="E67" s="482"/>
      <c r="F67" s="482"/>
      <c r="G67" s="482"/>
      <c r="H67" s="482"/>
      <c r="I67" s="86">
        <f>I53</f>
        <v>531.91999999999996</v>
      </c>
      <c r="J67" s="74"/>
    </row>
    <row r="68" spans="1:10">
      <c r="A68" s="368" t="s">
        <v>106</v>
      </c>
      <c r="B68" s="482" t="s">
        <v>107</v>
      </c>
      <c r="C68" s="482"/>
      <c r="D68" s="482"/>
      <c r="E68" s="482"/>
      <c r="F68" s="482"/>
      <c r="G68" s="482"/>
      <c r="H68" s="482"/>
      <c r="I68" s="86">
        <f>I61</f>
        <v>410.9</v>
      </c>
      <c r="J68" s="74"/>
    </row>
    <row r="69" spans="1:10">
      <c r="A69" s="500" t="s">
        <v>108</v>
      </c>
      <c r="B69" s="500"/>
      <c r="C69" s="500"/>
      <c r="D69" s="500"/>
      <c r="E69" s="500"/>
      <c r="F69" s="500"/>
      <c r="G69" s="500"/>
      <c r="H69" s="500"/>
      <c r="I69" s="87">
        <f>TRUNC(SUM(I66:I68),2)</f>
        <v>1188.27</v>
      </c>
      <c r="J69" s="74"/>
    </row>
    <row r="70" spans="1:10">
      <c r="A70" s="526"/>
      <c r="B70" s="527"/>
      <c r="C70" s="527"/>
      <c r="D70" s="527"/>
      <c r="E70" s="527"/>
      <c r="F70" s="527"/>
      <c r="G70" s="527"/>
      <c r="H70" s="527"/>
      <c r="I70" s="527"/>
      <c r="J70" s="74"/>
    </row>
    <row r="71" spans="1:10" ht="17.25" customHeight="1">
      <c r="A71" s="556" t="s">
        <v>109</v>
      </c>
      <c r="B71" s="557"/>
      <c r="C71" s="557"/>
      <c r="D71" s="557"/>
      <c r="E71" s="557"/>
      <c r="F71" s="557"/>
      <c r="G71" s="557"/>
      <c r="H71" s="557"/>
      <c r="I71" s="434"/>
      <c r="J71" s="74"/>
    </row>
    <row r="72" spans="1:10" ht="16.5" customHeight="1">
      <c r="A72" s="558" t="s">
        <v>342</v>
      </c>
      <c r="B72" s="559"/>
      <c r="C72" s="559"/>
      <c r="D72" s="559"/>
      <c r="E72" s="559"/>
      <c r="F72" s="559"/>
      <c r="G72" s="559"/>
      <c r="H72" s="560"/>
      <c r="I72" s="373">
        <f>I32+I39</f>
        <v>1445.45</v>
      </c>
      <c r="J72" s="74"/>
    </row>
    <row r="73" spans="1:10">
      <c r="A73" s="213">
        <v>3</v>
      </c>
      <c r="B73" s="555" t="s">
        <v>110</v>
      </c>
      <c r="C73" s="555"/>
      <c r="D73" s="555"/>
      <c r="E73" s="555"/>
      <c r="F73" s="555"/>
      <c r="G73" s="555"/>
      <c r="H73" s="213" t="s">
        <v>68</v>
      </c>
      <c r="I73" s="213" t="s">
        <v>69</v>
      </c>
      <c r="J73" s="74"/>
    </row>
    <row r="74" spans="1:10" ht="63" customHeight="1">
      <c r="A74" s="213" t="s">
        <v>46</v>
      </c>
      <c r="B74" s="535" t="s">
        <v>341</v>
      </c>
      <c r="C74" s="536"/>
      <c r="D74" s="536"/>
      <c r="E74" s="536"/>
      <c r="F74" s="536"/>
      <c r="G74" s="537"/>
      <c r="H74" s="77">
        <f>(1/12)*5%</f>
        <v>4.1666666666666666E-3</v>
      </c>
      <c r="I74" s="88">
        <f>$I$72*H74</f>
        <v>6.0227083333333331</v>
      </c>
      <c r="J74" s="74"/>
    </row>
    <row r="75" spans="1:10" ht="27.75" customHeight="1">
      <c r="A75" s="213" t="s">
        <v>48</v>
      </c>
      <c r="B75" s="538" t="s">
        <v>111</v>
      </c>
      <c r="C75" s="538"/>
      <c r="D75" s="538"/>
      <c r="E75" s="538"/>
      <c r="F75" s="538"/>
      <c r="G75" s="538"/>
      <c r="H75" s="77">
        <f>8%*H74</f>
        <v>3.3333333333333332E-4</v>
      </c>
      <c r="I75" s="88">
        <f t="shared" ref="I75:I79" si="1">$I$72*H75</f>
        <v>0.48181666666666667</v>
      </c>
      <c r="J75" s="315"/>
    </row>
    <row r="76" spans="1:10" ht="27.75" customHeight="1">
      <c r="A76" s="213" t="s">
        <v>50</v>
      </c>
      <c r="B76" s="535" t="s">
        <v>377</v>
      </c>
      <c r="C76" s="536"/>
      <c r="D76" s="536"/>
      <c r="E76" s="536"/>
      <c r="F76" s="536"/>
      <c r="G76" s="537"/>
      <c r="H76" s="77">
        <f>((8%*50%*5%*(1+1/12+1/12+(1/3/12))))</f>
        <v>2.3888888888888883E-3</v>
      </c>
      <c r="I76" s="88">
        <f t="shared" si="1"/>
        <v>3.4530194444444438</v>
      </c>
      <c r="J76" s="74"/>
    </row>
    <row r="77" spans="1:10" ht="27" customHeight="1">
      <c r="A77" s="213" t="s">
        <v>52</v>
      </c>
      <c r="B77" s="535" t="s">
        <v>340</v>
      </c>
      <c r="C77" s="536"/>
      <c r="D77" s="536"/>
      <c r="E77" s="536"/>
      <c r="F77" s="536"/>
      <c r="G77" s="537"/>
      <c r="H77" s="77">
        <f>((1/30)*7)/12</f>
        <v>1.9444444444444445E-2</v>
      </c>
      <c r="I77" s="88">
        <f t="shared" si="1"/>
        <v>28.105972222222224</v>
      </c>
      <c r="J77" s="74"/>
    </row>
    <row r="78" spans="1:10" ht="12.75" customHeight="1">
      <c r="A78" s="213" t="s">
        <v>74</v>
      </c>
      <c r="B78" s="538" t="s">
        <v>112</v>
      </c>
      <c r="C78" s="538"/>
      <c r="D78" s="538"/>
      <c r="E78" s="538"/>
      <c r="F78" s="538"/>
      <c r="G78" s="538"/>
      <c r="H78" s="77">
        <f>H53*H77</f>
        <v>7.1555555555555565E-3</v>
      </c>
      <c r="I78" s="88">
        <f t="shared" si="1"/>
        <v>10.342997777777779</v>
      </c>
      <c r="J78" s="74"/>
    </row>
    <row r="79" spans="1:10" ht="27" customHeight="1">
      <c r="A79" s="213" t="s">
        <v>76</v>
      </c>
      <c r="B79" s="535" t="s">
        <v>339</v>
      </c>
      <c r="C79" s="536"/>
      <c r="D79" s="536"/>
      <c r="E79" s="536"/>
      <c r="F79" s="536"/>
      <c r="G79" s="537"/>
      <c r="H79" s="77">
        <f>((8%*50%*100%*(1+1/12+1/12+(1/3/12))))</f>
        <v>4.7777777777777766E-2</v>
      </c>
      <c r="I79" s="88">
        <f t="shared" si="1"/>
        <v>69.06038888888888</v>
      </c>
      <c r="J79" s="74"/>
    </row>
    <row r="80" spans="1:10">
      <c r="A80" s="555" t="s">
        <v>113</v>
      </c>
      <c r="B80" s="555"/>
      <c r="C80" s="555"/>
      <c r="D80" s="555"/>
      <c r="E80" s="555"/>
      <c r="F80" s="555"/>
      <c r="G80" s="555"/>
      <c r="H80" s="90">
        <f>TRUNC(SUM(H74:H79),4)</f>
        <v>8.1199999999999994E-2</v>
      </c>
      <c r="I80" s="91">
        <f>TRUNC(SUM(I74:I79),2)</f>
        <v>117.46</v>
      </c>
      <c r="J80" s="74"/>
    </row>
    <row r="81" spans="1:10" ht="24.75" customHeight="1">
      <c r="A81" s="544"/>
      <c r="B81" s="545"/>
      <c r="C81" s="545"/>
      <c r="D81" s="545"/>
      <c r="E81" s="545"/>
      <c r="F81" s="545"/>
      <c r="G81" s="545"/>
      <c r="H81" s="545"/>
      <c r="I81" s="545"/>
      <c r="J81" s="74"/>
    </row>
    <row r="82" spans="1:10" ht="21.75" customHeight="1">
      <c r="A82" s="528" t="s">
        <v>114</v>
      </c>
      <c r="B82" s="528"/>
      <c r="C82" s="528"/>
      <c r="D82" s="528"/>
      <c r="E82" s="528"/>
      <c r="F82" s="528"/>
      <c r="G82" s="528"/>
      <c r="H82" s="528"/>
      <c r="I82" s="528"/>
      <c r="J82" s="89"/>
    </row>
    <row r="83" spans="1:10" ht="21.75" customHeight="1">
      <c r="A83" s="549" t="s">
        <v>345</v>
      </c>
      <c r="B83" s="550"/>
      <c r="C83" s="550"/>
      <c r="D83" s="550"/>
      <c r="E83" s="550"/>
      <c r="F83" s="550"/>
      <c r="G83" s="550"/>
      <c r="H83" s="551"/>
      <c r="I83" s="215">
        <f>I32+I69+I80</f>
        <v>2505.73</v>
      </c>
      <c r="J83" s="74"/>
    </row>
    <row r="84" spans="1:10">
      <c r="A84" s="500" t="s">
        <v>350</v>
      </c>
      <c r="B84" s="500"/>
      <c r="C84" s="500"/>
      <c r="D84" s="500"/>
      <c r="E84" s="500"/>
      <c r="F84" s="500"/>
      <c r="G84" s="500"/>
      <c r="H84" s="210" t="s">
        <v>68</v>
      </c>
      <c r="I84" s="210" t="s">
        <v>69</v>
      </c>
      <c r="J84" s="74"/>
    </row>
    <row r="85" spans="1:10" ht="25.5" customHeight="1">
      <c r="A85" s="213" t="s">
        <v>46</v>
      </c>
      <c r="B85" s="535" t="s">
        <v>369</v>
      </c>
      <c r="C85" s="536"/>
      <c r="D85" s="536"/>
      <c r="E85" s="536"/>
      <c r="F85" s="536"/>
      <c r="G85" s="537"/>
      <c r="H85" s="75">
        <f>((1/12+1/12+((1/3)/12))/12)</f>
        <v>1.6203703703703703E-2</v>
      </c>
      <c r="I85" s="76">
        <f>H85*$I$83</f>
        <v>40.602106481481478</v>
      </c>
      <c r="J85" s="74"/>
    </row>
    <row r="86" spans="1:10" ht="17.25" customHeight="1">
      <c r="A86" s="213" t="s">
        <v>48</v>
      </c>
      <c r="B86" s="546" t="s">
        <v>344</v>
      </c>
      <c r="C86" s="547"/>
      <c r="D86" s="547"/>
      <c r="E86" s="547"/>
      <c r="F86" s="547"/>
      <c r="G86" s="548"/>
      <c r="H86" s="77">
        <f>((1/30)/12)*3</f>
        <v>8.3333333333333332E-3</v>
      </c>
      <c r="I86" s="76">
        <f t="shared" ref="I86:I90" si="2">H86*$I$83</f>
        <v>20.881083333333333</v>
      </c>
      <c r="J86" s="74"/>
    </row>
    <row r="87" spans="1:10" ht="14.25" customHeight="1">
      <c r="A87" s="213" t="s">
        <v>50</v>
      </c>
      <c r="B87" s="538" t="s">
        <v>346</v>
      </c>
      <c r="C87" s="538"/>
      <c r="D87" s="538"/>
      <c r="E87" s="538"/>
      <c r="F87" s="538"/>
      <c r="G87" s="538"/>
      <c r="H87" s="77">
        <f>((5/30)/12)*0.02</f>
        <v>2.7777777777777778E-4</v>
      </c>
      <c r="I87" s="76">
        <f t="shared" si="2"/>
        <v>0.69603611111111108</v>
      </c>
      <c r="J87" s="74"/>
    </row>
    <row r="88" spans="1:10" ht="27" customHeight="1">
      <c r="A88" s="213" t="s">
        <v>52</v>
      </c>
      <c r="B88" s="535" t="s">
        <v>347</v>
      </c>
      <c r="C88" s="536"/>
      <c r="D88" s="536"/>
      <c r="E88" s="536"/>
      <c r="F88" s="536"/>
      <c r="G88" s="537"/>
      <c r="H88" s="77">
        <f>((15/30)/12)*1%</f>
        <v>4.1666666666666664E-4</v>
      </c>
      <c r="I88" s="76">
        <f t="shared" si="2"/>
        <v>1.0440541666666665</v>
      </c>
      <c r="J88" s="363"/>
    </row>
    <row r="89" spans="1:10" ht="25.5" customHeight="1">
      <c r="A89" s="213" t="s">
        <v>74</v>
      </c>
      <c r="B89" s="535" t="s">
        <v>348</v>
      </c>
      <c r="C89" s="536"/>
      <c r="D89" s="536"/>
      <c r="E89" s="536"/>
      <c r="F89" s="536"/>
      <c r="G89" s="537"/>
      <c r="H89" s="77">
        <f>((1/12)*(4/12))*2%</f>
        <v>5.5555555555555556E-4</v>
      </c>
      <c r="I89" s="76">
        <f t="shared" si="2"/>
        <v>1.3920722222222222</v>
      </c>
      <c r="J89" s="363"/>
    </row>
    <row r="90" spans="1:10">
      <c r="A90" s="213" t="s">
        <v>76</v>
      </c>
      <c r="B90" s="538" t="s">
        <v>349</v>
      </c>
      <c r="C90" s="538"/>
      <c r="D90" s="538"/>
      <c r="E90" s="538"/>
      <c r="F90" s="538"/>
      <c r="G90" s="538"/>
      <c r="H90" s="77">
        <v>0</v>
      </c>
      <c r="I90" s="76">
        <f t="shared" si="2"/>
        <v>0</v>
      </c>
      <c r="J90" s="74"/>
    </row>
    <row r="91" spans="1:10">
      <c r="A91" s="500" t="s">
        <v>115</v>
      </c>
      <c r="B91" s="500"/>
      <c r="C91" s="500"/>
      <c r="D91" s="500"/>
      <c r="E91" s="500"/>
      <c r="F91" s="500"/>
      <c r="G91" s="500"/>
      <c r="H91" s="78">
        <f>SUM(H85:H90)</f>
        <v>2.5787037037037035E-2</v>
      </c>
      <c r="I91" s="79">
        <f>SUM(I85:I90)</f>
        <v>64.615352314814814</v>
      </c>
      <c r="J91" s="74"/>
    </row>
    <row r="92" spans="1:10" ht="50.25" customHeight="1">
      <c r="A92" s="552" t="s">
        <v>353</v>
      </c>
      <c r="B92" s="553"/>
      <c r="C92" s="553"/>
      <c r="D92" s="553"/>
      <c r="E92" s="553"/>
      <c r="F92" s="553"/>
      <c r="G92" s="553"/>
      <c r="H92" s="553"/>
      <c r="I92" s="554"/>
      <c r="J92" s="74"/>
    </row>
    <row r="93" spans="1:10">
      <c r="A93" s="539"/>
      <c r="B93" s="540"/>
      <c r="C93" s="540"/>
      <c r="D93" s="540"/>
      <c r="E93" s="540"/>
      <c r="F93" s="540"/>
      <c r="G93" s="540"/>
      <c r="H93" s="540"/>
      <c r="I93" s="540"/>
      <c r="J93" s="74"/>
    </row>
    <row r="94" spans="1:10" ht="15.75" customHeight="1">
      <c r="A94" s="541" t="s">
        <v>352</v>
      </c>
      <c r="B94" s="542"/>
      <c r="C94" s="542"/>
      <c r="D94" s="542"/>
      <c r="E94" s="542"/>
      <c r="F94" s="542"/>
      <c r="G94" s="543"/>
      <c r="H94" s="406" t="s">
        <v>68</v>
      </c>
      <c r="I94" s="406" t="s">
        <v>69</v>
      </c>
      <c r="J94" s="74"/>
    </row>
    <row r="95" spans="1:10" ht="24.75" customHeight="1">
      <c r="A95" s="210" t="s">
        <v>46</v>
      </c>
      <c r="B95" s="529" t="s">
        <v>351</v>
      </c>
      <c r="C95" s="530"/>
      <c r="D95" s="530"/>
      <c r="E95" s="530"/>
      <c r="F95" s="530"/>
      <c r="G95" s="531"/>
      <c r="H95" s="75">
        <v>0</v>
      </c>
      <c r="I95" s="76">
        <f>$I$32*H95</f>
        <v>0</v>
      </c>
      <c r="J95" s="74"/>
    </row>
    <row r="96" spans="1:10">
      <c r="A96" s="500" t="s">
        <v>116</v>
      </c>
      <c r="B96" s="500"/>
      <c r="C96" s="500"/>
      <c r="D96" s="500"/>
      <c r="E96" s="500"/>
      <c r="F96" s="500"/>
      <c r="G96" s="500"/>
      <c r="H96" s="78">
        <f>TRUNC(SUM(H95),4)</f>
        <v>0</v>
      </c>
      <c r="I96" s="79">
        <f>TRUNC(SUM(I95),2)</f>
        <v>0</v>
      </c>
      <c r="J96" s="74"/>
    </row>
    <row r="97" spans="1:10">
      <c r="A97" s="532"/>
      <c r="B97" s="533"/>
      <c r="C97" s="533"/>
      <c r="D97" s="533"/>
      <c r="E97" s="533"/>
      <c r="F97" s="533"/>
      <c r="G97" s="533"/>
      <c r="H97" s="533"/>
      <c r="I97" s="533"/>
      <c r="J97" s="74"/>
    </row>
    <row r="98" spans="1:10">
      <c r="A98" s="534" t="s">
        <v>117</v>
      </c>
      <c r="B98" s="534"/>
      <c r="C98" s="534"/>
      <c r="D98" s="534"/>
      <c r="E98" s="534"/>
      <c r="F98" s="534"/>
      <c r="G98" s="534"/>
      <c r="H98" s="534"/>
      <c r="I98" s="534"/>
      <c r="J98" s="74"/>
    </row>
    <row r="99" spans="1:10">
      <c r="A99" s="500" t="s">
        <v>118</v>
      </c>
      <c r="B99" s="500"/>
      <c r="C99" s="500"/>
      <c r="D99" s="500"/>
      <c r="E99" s="500"/>
      <c r="F99" s="500"/>
      <c r="G99" s="500"/>
      <c r="H99" s="500"/>
      <c r="I99" s="210" t="s">
        <v>69</v>
      </c>
      <c r="J99" s="74"/>
    </row>
    <row r="100" spans="1:10">
      <c r="A100" s="210" t="s">
        <v>119</v>
      </c>
      <c r="B100" s="501" t="s">
        <v>354</v>
      </c>
      <c r="C100" s="501"/>
      <c r="D100" s="501"/>
      <c r="E100" s="501"/>
      <c r="F100" s="501"/>
      <c r="G100" s="501"/>
      <c r="H100" s="501"/>
      <c r="I100" s="76">
        <f>I91</f>
        <v>64.615352314814814</v>
      </c>
      <c r="J100" s="74"/>
    </row>
    <row r="101" spans="1:10" ht="18" customHeight="1">
      <c r="A101" s="69" t="s">
        <v>120</v>
      </c>
      <c r="B101" s="501" t="s">
        <v>355</v>
      </c>
      <c r="C101" s="501"/>
      <c r="D101" s="501"/>
      <c r="E101" s="501"/>
      <c r="F101" s="501"/>
      <c r="G101" s="501"/>
      <c r="H101" s="501"/>
      <c r="I101" s="86">
        <f>I96</f>
        <v>0</v>
      </c>
      <c r="J101" s="74"/>
    </row>
    <row r="102" spans="1:10">
      <c r="A102" s="500" t="s">
        <v>121</v>
      </c>
      <c r="B102" s="500"/>
      <c r="C102" s="500"/>
      <c r="D102" s="500"/>
      <c r="E102" s="500"/>
      <c r="F102" s="500"/>
      <c r="G102" s="500"/>
      <c r="H102" s="500"/>
      <c r="I102" s="87">
        <f>I91+I96</f>
        <v>64.615352314814814</v>
      </c>
      <c r="J102" s="74"/>
    </row>
    <row r="103" spans="1:10">
      <c r="A103" s="526"/>
      <c r="B103" s="527"/>
      <c r="C103" s="527"/>
      <c r="D103" s="527"/>
      <c r="E103" s="527"/>
      <c r="F103" s="527"/>
      <c r="G103" s="527"/>
      <c r="H103" s="527"/>
      <c r="I103" s="527"/>
      <c r="J103" s="74"/>
    </row>
    <row r="104" spans="1:10">
      <c r="A104" s="528" t="s">
        <v>122</v>
      </c>
      <c r="B104" s="528"/>
      <c r="C104" s="528"/>
      <c r="D104" s="528"/>
      <c r="E104" s="528"/>
      <c r="F104" s="528"/>
      <c r="G104" s="528"/>
      <c r="H104" s="528"/>
      <c r="I104" s="528"/>
      <c r="J104" s="74"/>
    </row>
    <row r="105" spans="1:10">
      <c r="A105" s="210">
        <v>5</v>
      </c>
      <c r="B105" s="500" t="s">
        <v>123</v>
      </c>
      <c r="C105" s="500"/>
      <c r="D105" s="500"/>
      <c r="E105" s="500"/>
      <c r="F105" s="500"/>
      <c r="G105" s="500"/>
      <c r="H105" s="210"/>
      <c r="I105" s="210" t="s">
        <v>69</v>
      </c>
      <c r="J105" s="74"/>
    </row>
    <row r="106" spans="1:10">
      <c r="A106" s="238" t="s">
        <v>46</v>
      </c>
      <c r="B106" s="511" t="s">
        <v>124</v>
      </c>
      <c r="C106" s="511"/>
      <c r="D106" s="511"/>
      <c r="E106" s="511"/>
      <c r="F106" s="511"/>
      <c r="G106" s="511"/>
      <c r="H106" s="237" t="s">
        <v>96</v>
      </c>
      <c r="I106" s="76">
        <f>Uniforme!G10</f>
        <v>42.484999999999999</v>
      </c>
      <c r="J106" s="74"/>
    </row>
    <row r="107" spans="1:10">
      <c r="A107" s="238" t="s">
        <v>48</v>
      </c>
      <c r="B107" s="511" t="s">
        <v>125</v>
      </c>
      <c r="C107" s="511"/>
      <c r="D107" s="511"/>
      <c r="E107" s="511"/>
      <c r="F107" s="511"/>
      <c r="G107" s="511"/>
      <c r="H107" s="237" t="s">
        <v>96</v>
      </c>
      <c r="I107" s="76">
        <f>'III - Insumos'!Q75</f>
        <v>154.06812500000001</v>
      </c>
      <c r="J107" s="74"/>
    </row>
    <row r="108" spans="1:10">
      <c r="A108" s="239" t="s">
        <v>50</v>
      </c>
      <c r="B108" s="511" t="s">
        <v>126</v>
      </c>
      <c r="C108" s="511"/>
      <c r="D108" s="511"/>
      <c r="E108" s="511"/>
      <c r="F108" s="511"/>
      <c r="G108" s="511"/>
      <c r="H108" s="237" t="s">
        <v>96</v>
      </c>
      <c r="I108" s="76">
        <f>'III - Insumos'!K74</f>
        <v>4.3950520833333337</v>
      </c>
      <c r="J108" s="74"/>
    </row>
    <row r="109" spans="1:10">
      <c r="A109" s="239" t="s">
        <v>52</v>
      </c>
      <c r="B109" s="511" t="s">
        <v>263</v>
      </c>
      <c r="C109" s="511"/>
      <c r="D109" s="511"/>
      <c r="E109" s="511"/>
      <c r="F109" s="511"/>
      <c r="G109" s="511"/>
      <c r="H109" s="237" t="s">
        <v>96</v>
      </c>
      <c r="I109" s="76">
        <f>'III - Insumos'!E75</f>
        <v>65.528906250000006</v>
      </c>
      <c r="J109" s="74"/>
    </row>
    <row r="110" spans="1:10">
      <c r="A110" s="500" t="s">
        <v>127</v>
      </c>
      <c r="B110" s="500"/>
      <c r="C110" s="500"/>
      <c r="D110" s="500"/>
      <c r="E110" s="500"/>
      <c r="F110" s="500"/>
      <c r="G110" s="500"/>
      <c r="H110" s="78" t="s">
        <v>96</v>
      </c>
      <c r="I110" s="79">
        <f>TRUNC(SUM(I106:I109),2)</f>
        <v>266.47000000000003</v>
      </c>
      <c r="J110" s="74"/>
    </row>
    <row r="111" spans="1:10">
      <c r="A111" s="361"/>
      <c r="B111" s="362"/>
      <c r="C111" s="362"/>
      <c r="D111" s="362"/>
      <c r="E111" s="362"/>
      <c r="F111" s="362"/>
      <c r="G111" s="362"/>
      <c r="H111" s="122"/>
      <c r="I111" s="379"/>
      <c r="J111" s="74"/>
    </row>
    <row r="112" spans="1:10">
      <c r="A112" s="523" t="s">
        <v>356</v>
      </c>
      <c r="B112" s="524"/>
      <c r="C112" s="524"/>
      <c r="D112" s="524"/>
      <c r="E112" s="524"/>
      <c r="F112" s="524"/>
      <c r="G112" s="524"/>
      <c r="H112" s="525"/>
      <c r="I112" s="433"/>
      <c r="J112" s="74"/>
    </row>
    <row r="113" spans="1:12">
      <c r="A113" s="586" t="s">
        <v>33</v>
      </c>
      <c r="B113" s="587"/>
      <c r="C113" s="587"/>
      <c r="D113" s="587"/>
      <c r="E113" s="587"/>
      <c r="F113" s="587"/>
      <c r="G113" s="587"/>
      <c r="H113" s="588"/>
      <c r="I113" s="429">
        <f>I32+I69+I80+I102+I110</f>
        <v>2836.8153523148148</v>
      </c>
      <c r="J113" s="74"/>
    </row>
    <row r="114" spans="1:12" ht="14.25" customHeight="1">
      <c r="A114" s="361"/>
      <c r="B114" s="362"/>
      <c r="C114" s="362"/>
      <c r="D114" s="362"/>
      <c r="E114" s="362"/>
      <c r="F114" s="362"/>
      <c r="G114" s="362"/>
      <c r="H114" s="122"/>
      <c r="I114" s="379"/>
      <c r="J114" s="74"/>
    </row>
    <row r="115" spans="1:12">
      <c r="A115" s="512" t="s">
        <v>128</v>
      </c>
      <c r="B115" s="513"/>
      <c r="C115" s="513"/>
      <c r="D115" s="513"/>
      <c r="E115" s="513"/>
      <c r="F115" s="513"/>
      <c r="G115" s="513"/>
      <c r="H115" s="513"/>
      <c r="I115" s="514"/>
      <c r="J115" s="74"/>
    </row>
    <row r="116" spans="1:12">
      <c r="A116" s="210">
        <v>6</v>
      </c>
      <c r="B116" s="500" t="s">
        <v>129</v>
      </c>
      <c r="C116" s="500"/>
      <c r="D116" s="500"/>
      <c r="E116" s="500"/>
      <c r="F116" s="500"/>
      <c r="G116" s="500"/>
      <c r="H116" s="210" t="s">
        <v>68</v>
      </c>
      <c r="I116" s="210" t="s">
        <v>69</v>
      </c>
      <c r="J116" s="74"/>
    </row>
    <row r="117" spans="1:12">
      <c r="A117" s="210" t="s">
        <v>46</v>
      </c>
      <c r="B117" s="482" t="s">
        <v>130</v>
      </c>
      <c r="C117" s="482"/>
      <c r="D117" s="482"/>
      <c r="E117" s="482"/>
      <c r="F117" s="482"/>
      <c r="G117" s="482"/>
      <c r="H117" s="92">
        <v>6.7500000000000004E-2</v>
      </c>
      <c r="I117" s="76">
        <f>H117*I113</f>
        <v>191.48503628125002</v>
      </c>
      <c r="J117" s="74"/>
    </row>
    <row r="118" spans="1:12">
      <c r="A118" s="69" t="s">
        <v>48</v>
      </c>
      <c r="B118" s="482" t="s">
        <v>131</v>
      </c>
      <c r="C118" s="482"/>
      <c r="D118" s="482"/>
      <c r="E118" s="482"/>
      <c r="F118" s="482"/>
      <c r="G118" s="482"/>
      <c r="H118" s="92">
        <v>7.6499999999999999E-2</v>
      </c>
      <c r="I118" s="76">
        <f>(I113+I117)*H118</f>
        <v>231.66497972759896</v>
      </c>
      <c r="J118" s="89"/>
      <c r="L118" s="94"/>
    </row>
    <row r="119" spans="1:12">
      <c r="A119" s="589" t="s">
        <v>50</v>
      </c>
      <c r="B119" s="602" t="s">
        <v>357</v>
      </c>
      <c r="C119" s="603"/>
      <c r="D119" s="603"/>
      <c r="E119" s="603"/>
      <c r="F119" s="603"/>
      <c r="G119" s="604"/>
      <c r="H119" s="591">
        <f>E121+E122+E127+E123+E125+E128</f>
        <v>0.14250000000000002</v>
      </c>
      <c r="I119" s="599">
        <f>H119*I130</f>
        <v>541.7435160188013</v>
      </c>
      <c r="J119" s="89"/>
    </row>
    <row r="120" spans="1:12">
      <c r="A120" s="589"/>
      <c r="B120" s="605" t="s">
        <v>358</v>
      </c>
      <c r="C120" s="606"/>
      <c r="D120" s="606"/>
      <c r="E120" s="606"/>
      <c r="F120" s="606"/>
      <c r="G120" s="607"/>
      <c r="H120" s="591"/>
      <c r="I120" s="600"/>
      <c r="J120" s="89"/>
    </row>
    <row r="121" spans="1:12">
      <c r="A121" s="589"/>
      <c r="B121" s="593" t="s">
        <v>359</v>
      </c>
      <c r="C121" s="593"/>
      <c r="D121" s="593"/>
      <c r="E121" s="380">
        <v>1.6500000000000001E-2</v>
      </c>
      <c r="F121" s="386"/>
      <c r="G121" s="389"/>
      <c r="H121" s="592"/>
      <c r="I121" s="600"/>
      <c r="J121" s="74"/>
    </row>
    <row r="122" spans="1:12">
      <c r="A122" s="589"/>
      <c r="B122" s="594" t="s">
        <v>360</v>
      </c>
      <c r="C122" s="594"/>
      <c r="D122" s="594"/>
      <c r="E122" s="381">
        <v>7.5999999999999998E-2</v>
      </c>
      <c r="F122" s="387"/>
      <c r="G122" s="389"/>
      <c r="H122" s="592"/>
      <c r="I122" s="600"/>
    </row>
    <row r="123" spans="1:12">
      <c r="A123" s="589"/>
      <c r="B123" s="594" t="s">
        <v>361</v>
      </c>
      <c r="C123" s="594"/>
      <c r="D123" s="594"/>
      <c r="E123" s="391"/>
      <c r="F123" s="387"/>
      <c r="G123" s="389"/>
      <c r="H123" s="592"/>
      <c r="I123" s="600"/>
    </row>
    <row r="124" spans="1:12">
      <c r="A124" s="590"/>
      <c r="B124" s="518" t="s">
        <v>362</v>
      </c>
      <c r="C124" s="519"/>
      <c r="D124" s="519"/>
      <c r="E124" s="519"/>
      <c r="F124" s="519"/>
      <c r="G124" s="520"/>
      <c r="H124" s="592"/>
      <c r="I124" s="600"/>
      <c r="J124" s="95"/>
    </row>
    <row r="125" spans="1:12">
      <c r="A125" s="590"/>
      <c r="B125" s="595" t="s">
        <v>363</v>
      </c>
      <c r="C125" s="596"/>
      <c r="D125" s="596"/>
      <c r="E125" s="392"/>
      <c r="F125" s="393"/>
      <c r="G125" s="390"/>
      <c r="H125" s="592"/>
      <c r="I125" s="600"/>
    </row>
    <row r="126" spans="1:12">
      <c r="A126" s="589"/>
      <c r="B126" s="521" t="s">
        <v>364</v>
      </c>
      <c r="C126" s="519"/>
      <c r="D126" s="519"/>
      <c r="E126" s="519"/>
      <c r="F126" s="519"/>
      <c r="G126" s="522"/>
      <c r="H126" s="591"/>
      <c r="I126" s="600"/>
    </row>
    <row r="127" spans="1:12">
      <c r="A127" s="589"/>
      <c r="B127" s="597" t="s">
        <v>365</v>
      </c>
      <c r="C127" s="597"/>
      <c r="D127" s="597"/>
      <c r="E127" s="380">
        <v>0.05</v>
      </c>
      <c r="F127" s="387"/>
      <c r="G127" s="389"/>
      <c r="H127" s="592"/>
      <c r="I127" s="600"/>
    </row>
    <row r="128" spans="1:12">
      <c r="A128" s="589"/>
      <c r="B128" s="598" t="s">
        <v>361</v>
      </c>
      <c r="C128" s="598"/>
      <c r="D128" s="598"/>
      <c r="E128" s="382"/>
      <c r="F128" s="388"/>
      <c r="G128" s="390"/>
      <c r="H128" s="592"/>
      <c r="I128" s="601"/>
      <c r="K128" s="95"/>
    </row>
    <row r="129" spans="1:11">
      <c r="A129" s="500" t="s">
        <v>132</v>
      </c>
      <c r="B129" s="500"/>
      <c r="C129" s="500"/>
      <c r="D129" s="500"/>
      <c r="E129" s="500"/>
      <c r="F129" s="500"/>
      <c r="G129" s="500"/>
      <c r="H129" s="93">
        <f>SUM(H117:H128)</f>
        <v>0.28650000000000003</v>
      </c>
      <c r="I129" s="87">
        <f>SUM(I117:I128)</f>
        <v>964.89353202765028</v>
      </c>
      <c r="K129" s="95"/>
    </row>
    <row r="130" spans="1:11" hidden="1">
      <c r="A130" s="394"/>
      <c r="B130" s="385"/>
      <c r="C130" s="385"/>
      <c r="D130" s="385"/>
      <c r="E130" s="383"/>
      <c r="F130" s="385"/>
      <c r="G130" s="384"/>
      <c r="H130" s="397">
        <f>1-((14.25)/100)</f>
        <v>0.85750000000000004</v>
      </c>
      <c r="I130" s="396">
        <f>(I113+I117+I118)/H130</f>
        <v>3801.7088843424649</v>
      </c>
      <c r="K130" s="95"/>
    </row>
    <row r="131" spans="1:11">
      <c r="A131" s="207"/>
      <c r="B131" s="207"/>
      <c r="C131" s="207"/>
      <c r="D131" s="207"/>
      <c r="E131" s="207"/>
      <c r="F131" s="207"/>
      <c r="G131" s="207"/>
      <c r="H131" s="207"/>
      <c r="I131" s="96"/>
    </row>
    <row r="132" spans="1:11">
      <c r="A132" s="515" t="s">
        <v>133</v>
      </c>
      <c r="B132" s="516"/>
      <c r="C132" s="516"/>
      <c r="D132" s="516"/>
      <c r="E132" s="516"/>
      <c r="F132" s="516"/>
      <c r="G132" s="516"/>
      <c r="H132" s="516"/>
      <c r="I132" s="517"/>
    </row>
    <row r="133" spans="1:11">
      <c r="A133" s="500" t="s">
        <v>134</v>
      </c>
      <c r="B133" s="500"/>
      <c r="C133" s="500"/>
      <c r="D133" s="500"/>
      <c r="E133" s="500"/>
      <c r="F133" s="500"/>
      <c r="G133" s="500"/>
      <c r="H133" s="500"/>
      <c r="I133" s="210" t="s">
        <v>69</v>
      </c>
    </row>
    <row r="134" spans="1:11">
      <c r="A134" s="208" t="s">
        <v>46</v>
      </c>
      <c r="B134" s="482" t="str">
        <f>A24</f>
        <v>MÓDULO 1 - COMPOSIÇÃO DA REMUNERAÇÃO</v>
      </c>
      <c r="C134" s="482"/>
      <c r="D134" s="482"/>
      <c r="E134" s="482"/>
      <c r="F134" s="482"/>
      <c r="G134" s="482"/>
      <c r="H134" s="482"/>
      <c r="I134" s="76">
        <f>I32</f>
        <v>1200</v>
      </c>
      <c r="K134" s="97"/>
    </row>
    <row r="135" spans="1:11">
      <c r="A135" s="98" t="s">
        <v>48</v>
      </c>
      <c r="B135" s="482" t="str">
        <f>A35</f>
        <v>MÓDULO 2 – ENCARGOS E BENEFÍCIOS ANUAIS, MENSAIS E DIÁRIOS</v>
      </c>
      <c r="C135" s="482"/>
      <c r="D135" s="482"/>
      <c r="E135" s="482"/>
      <c r="F135" s="482"/>
      <c r="G135" s="482"/>
      <c r="H135" s="482"/>
      <c r="I135" s="86">
        <f>I69</f>
        <v>1188.27</v>
      </c>
      <c r="K135" s="97"/>
    </row>
    <row r="136" spans="1:11">
      <c r="A136" s="98" t="s">
        <v>50</v>
      </c>
      <c r="B136" s="482" t="str">
        <f>A71</f>
        <v>MÓDULO 3 – PROVISÃO PARA RESCISÃO</v>
      </c>
      <c r="C136" s="482"/>
      <c r="D136" s="482"/>
      <c r="E136" s="482"/>
      <c r="F136" s="482"/>
      <c r="G136" s="482"/>
      <c r="H136" s="482"/>
      <c r="I136" s="86">
        <f>I80</f>
        <v>117.46</v>
      </c>
    </row>
    <row r="137" spans="1:11">
      <c r="A137" s="208" t="s">
        <v>52</v>
      </c>
      <c r="B137" s="482" t="str">
        <f>A82</f>
        <v>MÓDULO 4 – CUSTO DE REPOSIÇÃO DO PROFISSIONAL AUSENTE</v>
      </c>
      <c r="C137" s="482"/>
      <c r="D137" s="482"/>
      <c r="E137" s="482"/>
      <c r="F137" s="482"/>
      <c r="G137" s="482"/>
      <c r="H137" s="482"/>
      <c r="I137" s="86">
        <f>I102</f>
        <v>64.615352314814814</v>
      </c>
      <c r="K137" s="95"/>
    </row>
    <row r="138" spans="1:11">
      <c r="A138" s="98" t="s">
        <v>74</v>
      </c>
      <c r="B138" s="482" t="str">
        <f>A104</f>
        <v>MÓDULO 5 – INSUMOS DIVERSOS</v>
      </c>
      <c r="C138" s="482"/>
      <c r="D138" s="482"/>
      <c r="E138" s="482"/>
      <c r="F138" s="482"/>
      <c r="G138" s="482"/>
      <c r="H138" s="482"/>
      <c r="I138" s="86">
        <f>I110</f>
        <v>266.47000000000003</v>
      </c>
    </row>
    <row r="139" spans="1:11">
      <c r="A139" s="69"/>
      <c r="B139" s="500" t="s">
        <v>135</v>
      </c>
      <c r="C139" s="500"/>
      <c r="D139" s="500"/>
      <c r="E139" s="500"/>
      <c r="F139" s="500"/>
      <c r="G139" s="500"/>
      <c r="H139" s="500"/>
      <c r="I139" s="87">
        <f>TRUNC(SUM(I134:I138),2)</f>
        <v>2836.81</v>
      </c>
    </row>
    <row r="140" spans="1:11" hidden="1">
      <c r="A140" s="208" t="s">
        <v>76</v>
      </c>
      <c r="B140" s="482" t="str">
        <f>A115</f>
        <v>MÓDULO 6 – CUSTOS INDIRETOS, TRIBUTOS E LUCRO</v>
      </c>
      <c r="C140" s="482"/>
      <c r="D140" s="482"/>
      <c r="E140" s="482"/>
      <c r="F140" s="482"/>
      <c r="G140" s="482"/>
      <c r="H140" s="482"/>
      <c r="I140" s="76">
        <f>I123</f>
        <v>0</v>
      </c>
    </row>
    <row r="141" spans="1:11" ht="40.5" hidden="1" customHeight="1" thickBot="1">
      <c r="A141" s="500" t="s">
        <v>136</v>
      </c>
      <c r="B141" s="500"/>
      <c r="C141" s="500"/>
      <c r="D141" s="500"/>
      <c r="E141" s="500"/>
      <c r="F141" s="500"/>
      <c r="G141" s="500"/>
      <c r="H141" s="500"/>
      <c r="I141" s="174">
        <f>TRUNC(SUM(I139:I140),2)</f>
        <v>2836.81</v>
      </c>
    </row>
    <row r="142" spans="1:11" hidden="1">
      <c r="A142" s="207"/>
      <c r="B142" s="491" t="s">
        <v>137</v>
      </c>
      <c r="C142" s="491"/>
      <c r="D142" s="491"/>
      <c r="E142" s="491"/>
      <c r="F142" s="491"/>
      <c r="G142" s="491"/>
      <c r="H142" s="72"/>
      <c r="I142" s="72"/>
    </row>
    <row r="143" spans="1:11" ht="26.25" hidden="1" thickBot="1">
      <c r="A143" s="492" t="s">
        <v>138</v>
      </c>
      <c r="B143" s="493"/>
      <c r="C143" s="492" t="s">
        <v>139</v>
      </c>
      <c r="D143" s="493"/>
      <c r="E143" s="492" t="s">
        <v>140</v>
      </c>
      <c r="F143" s="493"/>
      <c r="G143" s="99" t="s">
        <v>141</v>
      </c>
      <c r="H143" s="100" t="s">
        <v>142</v>
      </c>
      <c r="I143" s="101" t="s">
        <v>69</v>
      </c>
    </row>
    <row r="144" spans="1:11" hidden="1">
      <c r="A144" s="494" t="s">
        <v>143</v>
      </c>
      <c r="B144" s="495"/>
      <c r="C144" s="496" t="s">
        <v>144</v>
      </c>
      <c r="D144" s="497"/>
      <c r="E144" s="498"/>
      <c r="F144" s="499"/>
      <c r="G144" s="102" t="s">
        <v>144</v>
      </c>
      <c r="H144" s="103"/>
      <c r="I144" s="104">
        <v>0</v>
      </c>
    </row>
    <row r="145" spans="1:9" hidden="1">
      <c r="A145" s="501" t="s">
        <v>145</v>
      </c>
      <c r="B145" s="502"/>
      <c r="C145" s="503" t="s">
        <v>144</v>
      </c>
      <c r="D145" s="504"/>
      <c r="E145" s="505"/>
      <c r="F145" s="506"/>
      <c r="G145" s="105" t="s">
        <v>144</v>
      </c>
      <c r="H145" s="106"/>
      <c r="I145" s="107">
        <v>0</v>
      </c>
    </row>
    <row r="146" spans="1:9" hidden="1">
      <c r="A146" s="501" t="s">
        <v>146</v>
      </c>
      <c r="B146" s="502"/>
      <c r="C146" s="503" t="s">
        <v>144</v>
      </c>
      <c r="D146" s="504"/>
      <c r="E146" s="505"/>
      <c r="F146" s="506"/>
      <c r="G146" s="105" t="s">
        <v>144</v>
      </c>
      <c r="H146" s="106"/>
      <c r="I146" s="107">
        <v>0</v>
      </c>
    </row>
    <row r="147" spans="1:9" hidden="1">
      <c r="A147" s="501" t="s">
        <v>147</v>
      </c>
      <c r="B147" s="502"/>
      <c r="C147" s="503" t="s">
        <v>144</v>
      </c>
      <c r="D147" s="504"/>
      <c r="E147" s="505"/>
      <c r="F147" s="506"/>
      <c r="G147" s="105" t="s">
        <v>144</v>
      </c>
      <c r="H147" s="106"/>
      <c r="I147" s="107">
        <v>0</v>
      </c>
    </row>
    <row r="148" spans="1:9" hidden="1">
      <c r="A148" s="608"/>
      <c r="B148" s="572"/>
      <c r="C148" s="505"/>
      <c r="D148" s="506"/>
      <c r="E148" s="505"/>
      <c r="F148" s="506"/>
      <c r="G148" s="108"/>
      <c r="H148" s="109"/>
      <c r="I148" s="107"/>
    </row>
    <row r="149" spans="1:9" ht="13.5" hidden="1" thickBot="1">
      <c r="A149" s="507"/>
      <c r="B149" s="508"/>
      <c r="C149" s="509"/>
      <c r="D149" s="510"/>
      <c r="E149" s="509"/>
      <c r="F149" s="510"/>
      <c r="G149" s="110"/>
      <c r="H149" s="111"/>
      <c r="I149" s="112"/>
    </row>
    <row r="150" spans="1:9" ht="13.5" hidden="1" thickBot="1">
      <c r="A150" s="488" t="s">
        <v>148</v>
      </c>
      <c r="B150" s="489"/>
      <c r="C150" s="489"/>
      <c r="D150" s="489"/>
      <c r="E150" s="489"/>
      <c r="F150" s="489"/>
      <c r="G150" s="489"/>
      <c r="H150" s="490"/>
      <c r="I150" s="113">
        <f>SUM(I148:I149)</f>
        <v>0</v>
      </c>
    </row>
    <row r="151" spans="1:9" hidden="1"/>
    <row r="152" spans="1:9" hidden="1">
      <c r="A152" s="207" t="s">
        <v>149</v>
      </c>
      <c r="B152" s="491" t="s">
        <v>150</v>
      </c>
      <c r="C152" s="491"/>
      <c r="D152" s="491"/>
      <c r="E152" s="491"/>
      <c r="F152" s="491"/>
      <c r="G152" s="491"/>
      <c r="H152" s="72"/>
      <c r="I152" s="72"/>
    </row>
    <row r="153" spans="1:9" ht="13.5" hidden="1" customHeight="1" thickBot="1">
      <c r="A153" s="583" t="s">
        <v>151</v>
      </c>
      <c r="B153" s="584"/>
      <c r="C153" s="584"/>
      <c r="D153" s="584"/>
      <c r="E153" s="584"/>
      <c r="F153" s="584"/>
      <c r="G153" s="584"/>
      <c r="H153" s="584"/>
      <c r="I153" s="585"/>
    </row>
    <row r="154" spans="1:9" ht="13.5" hidden="1" thickBot="1">
      <c r="A154" s="114"/>
      <c r="B154" s="467" t="s">
        <v>0</v>
      </c>
      <c r="C154" s="468"/>
      <c r="D154" s="468"/>
      <c r="E154" s="468"/>
      <c r="F154" s="468"/>
      <c r="G154" s="468"/>
      <c r="H154" s="469"/>
      <c r="I154" s="101" t="s">
        <v>69</v>
      </c>
    </row>
    <row r="155" spans="1:9" hidden="1">
      <c r="A155" s="209" t="s">
        <v>46</v>
      </c>
      <c r="B155" s="470" t="s">
        <v>152</v>
      </c>
      <c r="C155" s="471"/>
      <c r="D155" s="471"/>
      <c r="E155" s="471"/>
      <c r="F155" s="471"/>
      <c r="G155" s="471"/>
      <c r="H155" s="472"/>
      <c r="I155" s="115">
        <f>I119</f>
        <v>541.7435160188013</v>
      </c>
    </row>
    <row r="156" spans="1:9" hidden="1">
      <c r="A156" s="116" t="s">
        <v>48</v>
      </c>
      <c r="B156" s="473" t="s">
        <v>153</v>
      </c>
      <c r="C156" s="474"/>
      <c r="D156" s="474"/>
      <c r="E156" s="474"/>
      <c r="F156" s="474"/>
      <c r="G156" s="474"/>
      <c r="H156" s="475"/>
      <c r="I156" s="117" t="e">
        <f>#REF!</f>
        <v>#REF!</v>
      </c>
    </row>
    <row r="157" spans="1:9" ht="13.5" hidden="1" thickBot="1">
      <c r="A157" s="116" t="s">
        <v>50</v>
      </c>
      <c r="B157" s="476" t="s">
        <v>154</v>
      </c>
      <c r="C157" s="477"/>
      <c r="D157" s="477"/>
      <c r="E157" s="477"/>
      <c r="F157" s="477"/>
      <c r="G157" s="477"/>
      <c r="H157" s="478"/>
      <c r="I157" s="117">
        <f>I123</f>
        <v>0</v>
      </c>
    </row>
    <row r="158" spans="1:9" ht="13.5" hidden="1" thickBot="1">
      <c r="A158" s="479" t="s">
        <v>12</v>
      </c>
      <c r="B158" s="480"/>
      <c r="C158" s="480"/>
      <c r="D158" s="480"/>
      <c r="E158" s="480"/>
      <c r="F158" s="480"/>
      <c r="G158" s="480"/>
      <c r="H158" s="481"/>
      <c r="I158" s="113" t="e">
        <f>SUM(I155:I157)</f>
        <v>#REF!</v>
      </c>
    </row>
    <row r="159" spans="1:9" hidden="1">
      <c r="A159" s="118" t="s">
        <v>155</v>
      </c>
      <c r="B159" s="62" t="s">
        <v>156</v>
      </c>
    </row>
    <row r="160" spans="1:9">
      <c r="A160" s="98" t="s">
        <v>76</v>
      </c>
      <c r="B160" s="482" t="s">
        <v>128</v>
      </c>
      <c r="C160" s="482"/>
      <c r="D160" s="482"/>
      <c r="E160" s="482"/>
      <c r="F160" s="482"/>
      <c r="G160" s="482"/>
      <c r="H160" s="482"/>
      <c r="I160" s="86">
        <f>I129</f>
        <v>964.89353202765028</v>
      </c>
    </row>
    <row r="161" spans="1:10" ht="21.75" customHeight="1">
      <c r="A161" s="483" t="s">
        <v>366</v>
      </c>
      <c r="B161" s="484"/>
      <c r="C161" s="484"/>
      <c r="D161" s="484"/>
      <c r="E161" s="484"/>
      <c r="F161" s="484"/>
      <c r="G161" s="484"/>
      <c r="H161" s="485"/>
      <c r="I161" s="395">
        <f>I130</f>
        <v>3801.7088843424649</v>
      </c>
    </row>
    <row r="162" spans="1:10">
      <c r="A162" s="119"/>
      <c r="B162" s="119"/>
    </row>
    <row r="163" spans="1:10" ht="24">
      <c r="A163" s="458" t="s">
        <v>31</v>
      </c>
      <c r="B163" s="459"/>
      <c r="C163" s="431" t="s">
        <v>174</v>
      </c>
      <c r="D163" s="460" t="s">
        <v>176</v>
      </c>
      <c r="E163" s="461"/>
      <c r="F163" s="432" t="s">
        <v>175</v>
      </c>
      <c r="J163" s="275"/>
    </row>
    <row r="164" spans="1:10">
      <c r="A164" s="486" t="s">
        <v>1</v>
      </c>
      <c r="B164" s="487"/>
      <c r="C164" s="56">
        <f>'VI - Demonstrativo final REAL'!G22</f>
        <v>82757.180548550168</v>
      </c>
      <c r="D164" s="462">
        <v>12</v>
      </c>
      <c r="E164" s="462"/>
      <c r="F164" s="57">
        <f>C164*D164</f>
        <v>993086.16658260208</v>
      </c>
      <c r="J164" s="275"/>
    </row>
    <row r="165" spans="1:10">
      <c r="A165" s="55" t="s">
        <v>34</v>
      </c>
      <c r="B165" s="52"/>
      <c r="C165" s="56">
        <f>'VI - Demonstrativo final REAL'!G28</f>
        <v>38482.12391921645</v>
      </c>
      <c r="D165" s="462">
        <v>12</v>
      </c>
      <c r="E165" s="462"/>
      <c r="F165" s="57">
        <f>C165*D165</f>
        <v>461785.4870305974</v>
      </c>
    </row>
    <row r="166" spans="1:10">
      <c r="A166" s="55" t="s">
        <v>3</v>
      </c>
      <c r="B166" s="52"/>
      <c r="C166" s="56">
        <f>'VI - Demonstrativo final REAL'!J34</f>
        <v>440.70328475524866</v>
      </c>
      <c r="D166" s="462">
        <v>12</v>
      </c>
      <c r="E166" s="462"/>
      <c r="F166" s="57">
        <f>C166*D166</f>
        <v>5288.4394170629839</v>
      </c>
    </row>
    <row r="167" spans="1:10">
      <c r="A167" s="463" t="s">
        <v>177</v>
      </c>
      <c r="B167" s="464"/>
      <c r="C167" s="59">
        <f>SUM(C164:C166)</f>
        <v>121680.00775252187</v>
      </c>
      <c r="D167" s="465"/>
      <c r="E167" s="466"/>
      <c r="F167" s="58">
        <f>SUM(F164:F166)</f>
        <v>1460160.0930302625</v>
      </c>
    </row>
  </sheetData>
  <mergeCells count="174">
    <mergeCell ref="A153:I153"/>
    <mergeCell ref="A113:H113"/>
    <mergeCell ref="A119:A128"/>
    <mergeCell ref="H119:H128"/>
    <mergeCell ref="B121:D121"/>
    <mergeCell ref="B122:D122"/>
    <mergeCell ref="B123:D123"/>
    <mergeCell ref="B125:D125"/>
    <mergeCell ref="B127:D127"/>
    <mergeCell ref="B128:D128"/>
    <mergeCell ref="A129:G129"/>
    <mergeCell ref="I119:I128"/>
    <mergeCell ref="B116:G116"/>
    <mergeCell ref="B117:G117"/>
    <mergeCell ref="B118:G118"/>
    <mergeCell ref="B119:G119"/>
    <mergeCell ref="B120:G120"/>
    <mergeCell ref="B152:G152"/>
    <mergeCell ref="A147:B147"/>
    <mergeCell ref="C147:D147"/>
    <mergeCell ref="E147:F147"/>
    <mergeCell ref="A148:B148"/>
    <mergeCell ref="C148:D148"/>
    <mergeCell ref="E148:F148"/>
    <mergeCell ref="A54:I54"/>
    <mergeCell ref="A1:I1"/>
    <mergeCell ref="A5:G5"/>
    <mergeCell ref="A6:I6"/>
    <mergeCell ref="B7:H7"/>
    <mergeCell ref="B8:H8"/>
    <mergeCell ref="B19:H19"/>
    <mergeCell ref="B20:H20"/>
    <mergeCell ref="B21:H21"/>
    <mergeCell ref="A14:B14"/>
    <mergeCell ref="C14:D14"/>
    <mergeCell ref="E14:I14"/>
    <mergeCell ref="B9:H9"/>
    <mergeCell ref="B10:H10"/>
    <mergeCell ref="A12:I12"/>
    <mergeCell ref="A13:B13"/>
    <mergeCell ref="C13:D13"/>
    <mergeCell ref="E13:I13"/>
    <mergeCell ref="A23:I23"/>
    <mergeCell ref="A24:I24"/>
    <mergeCell ref="B25:G25"/>
    <mergeCell ref="A16:I16"/>
    <mergeCell ref="B17:H17"/>
    <mergeCell ref="B18:H18"/>
    <mergeCell ref="B31:G31"/>
    <mergeCell ref="A32:H32"/>
    <mergeCell ref="A35:I35"/>
    <mergeCell ref="A36:G36"/>
    <mergeCell ref="B37:G37"/>
    <mergeCell ref="B38:G38"/>
    <mergeCell ref="B26:G26"/>
    <mergeCell ref="B27:G27"/>
    <mergeCell ref="B28:G28"/>
    <mergeCell ref="B29:G29"/>
    <mergeCell ref="B30:G30"/>
    <mergeCell ref="A33:I33"/>
    <mergeCell ref="B48:G48"/>
    <mergeCell ref="A41:I41"/>
    <mergeCell ref="B49:G49"/>
    <mergeCell ref="B50:G50"/>
    <mergeCell ref="B51:G51"/>
    <mergeCell ref="B52:G52"/>
    <mergeCell ref="A53:G53"/>
    <mergeCell ref="A39:G39"/>
    <mergeCell ref="B45:G45"/>
    <mergeCell ref="B46:G46"/>
    <mergeCell ref="B47:G47"/>
    <mergeCell ref="A43:H43"/>
    <mergeCell ref="A44:G44"/>
    <mergeCell ref="A61:H61"/>
    <mergeCell ref="A62:I62"/>
    <mergeCell ref="A64:I64"/>
    <mergeCell ref="A65:H65"/>
    <mergeCell ref="B66:H66"/>
    <mergeCell ref="B67:H67"/>
    <mergeCell ref="A55:I55"/>
    <mergeCell ref="A56:G56"/>
    <mergeCell ref="B57:G57"/>
    <mergeCell ref="B58:G58"/>
    <mergeCell ref="B59:G59"/>
    <mergeCell ref="B60:G60"/>
    <mergeCell ref="B75:G75"/>
    <mergeCell ref="B76:G76"/>
    <mergeCell ref="B77:G77"/>
    <mergeCell ref="B78:G78"/>
    <mergeCell ref="B79:G79"/>
    <mergeCell ref="A80:G80"/>
    <mergeCell ref="B68:H68"/>
    <mergeCell ref="A69:H69"/>
    <mergeCell ref="A70:I70"/>
    <mergeCell ref="B73:G73"/>
    <mergeCell ref="B74:G74"/>
    <mergeCell ref="A71:H71"/>
    <mergeCell ref="A72:H72"/>
    <mergeCell ref="B88:G88"/>
    <mergeCell ref="B89:G89"/>
    <mergeCell ref="B90:G90"/>
    <mergeCell ref="A93:I93"/>
    <mergeCell ref="A94:G94"/>
    <mergeCell ref="A81:I81"/>
    <mergeCell ref="A82:I82"/>
    <mergeCell ref="A84:G84"/>
    <mergeCell ref="B85:G85"/>
    <mergeCell ref="B86:G86"/>
    <mergeCell ref="B87:G87"/>
    <mergeCell ref="A83:H83"/>
    <mergeCell ref="A91:G91"/>
    <mergeCell ref="A92:I92"/>
    <mergeCell ref="B101:H101"/>
    <mergeCell ref="A102:H102"/>
    <mergeCell ref="A103:I103"/>
    <mergeCell ref="A104:I104"/>
    <mergeCell ref="B105:G105"/>
    <mergeCell ref="B106:G106"/>
    <mergeCell ref="B95:G95"/>
    <mergeCell ref="A96:G96"/>
    <mergeCell ref="A97:I97"/>
    <mergeCell ref="A98:I98"/>
    <mergeCell ref="A99:H99"/>
    <mergeCell ref="B100:H100"/>
    <mergeCell ref="B107:G107"/>
    <mergeCell ref="B108:G108"/>
    <mergeCell ref="B109:G109"/>
    <mergeCell ref="A110:G110"/>
    <mergeCell ref="A115:I115"/>
    <mergeCell ref="A132:I132"/>
    <mergeCell ref="A133:H133"/>
    <mergeCell ref="B134:H134"/>
    <mergeCell ref="B135:H135"/>
    <mergeCell ref="B124:G124"/>
    <mergeCell ref="B126:G126"/>
    <mergeCell ref="A112:H112"/>
    <mergeCell ref="A150:H150"/>
    <mergeCell ref="B142:G142"/>
    <mergeCell ref="A143:B143"/>
    <mergeCell ref="C143:D143"/>
    <mergeCell ref="E143:F143"/>
    <mergeCell ref="A144:B144"/>
    <mergeCell ref="C144:D144"/>
    <mergeCell ref="E144:F144"/>
    <mergeCell ref="B136:H136"/>
    <mergeCell ref="B137:H137"/>
    <mergeCell ref="B138:H138"/>
    <mergeCell ref="B139:H139"/>
    <mergeCell ref="B140:H140"/>
    <mergeCell ref="A141:H141"/>
    <mergeCell ref="A145:B145"/>
    <mergeCell ref="C145:D145"/>
    <mergeCell ref="E145:F145"/>
    <mergeCell ref="A146:B146"/>
    <mergeCell ref="C146:D146"/>
    <mergeCell ref="E146:F146"/>
    <mergeCell ref="A149:B149"/>
    <mergeCell ref="C149:D149"/>
    <mergeCell ref="E149:F149"/>
    <mergeCell ref="A163:B163"/>
    <mergeCell ref="D163:E163"/>
    <mergeCell ref="D164:E164"/>
    <mergeCell ref="D165:E165"/>
    <mergeCell ref="D166:E166"/>
    <mergeCell ref="A167:B167"/>
    <mergeCell ref="D167:E167"/>
    <mergeCell ref="B154:H154"/>
    <mergeCell ref="B155:H155"/>
    <mergeCell ref="B156:H156"/>
    <mergeCell ref="B157:H157"/>
    <mergeCell ref="A158:H158"/>
    <mergeCell ref="B160:H160"/>
    <mergeCell ref="A161:H161"/>
    <mergeCell ref="A164:B164"/>
  </mergeCells>
  <pageMargins left="0.98425196850393704" right="0.19685039370078741" top="1.9685039370078741" bottom="0.31496062992125984" header="0.15748031496062992" footer="0.15748031496062992"/>
  <pageSetup paperSize="9" scale="75" firstPageNumber="0" orientation="portrait" horizontalDpi="300" verticalDpi="300" r:id="rId1"/>
  <headerFooter>
    <oddHeader>&amp;L&amp;G</oddHeader>
    <oddFooter>&amp;L&amp;D&amp;C&amp;Z&amp;F&amp;RPágina 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M147"/>
  <sheetViews>
    <sheetView topLeftCell="A140" zoomScale="118" zoomScaleNormal="118" workbookViewId="0">
      <selection sqref="A1:J145"/>
    </sheetView>
  </sheetViews>
  <sheetFormatPr defaultRowHeight="12.75"/>
  <cols>
    <col min="1" max="1" width="10" style="62" bestFit="1" customWidth="1"/>
    <col min="2" max="2" width="9.140625" style="62"/>
    <col min="3" max="3" width="12.7109375" style="62" customWidth="1"/>
    <col min="4" max="4" width="9.140625" style="62"/>
    <col min="5" max="5" width="10.85546875" style="62" bestFit="1" customWidth="1"/>
    <col min="6" max="6" width="12.7109375" style="62" customWidth="1"/>
    <col min="7" max="7" width="19.140625" style="62" customWidth="1"/>
    <col min="8" max="8" width="8.85546875" style="62" customWidth="1"/>
    <col min="9" max="9" width="13.28515625" style="62" customWidth="1"/>
    <col min="10" max="10" width="23.5703125" style="62" customWidth="1"/>
    <col min="11" max="11" width="1.7109375" style="62" customWidth="1"/>
    <col min="12" max="12" width="15.85546875" style="62" customWidth="1"/>
    <col min="13" max="13" width="9.5703125" style="62" bestFit="1" customWidth="1"/>
    <col min="14" max="16384" width="9.140625" style="62"/>
  </cols>
  <sheetData>
    <row r="1" spans="1:9">
      <c r="A1" s="577" t="s">
        <v>375</v>
      </c>
      <c r="B1" s="577"/>
      <c r="C1" s="577"/>
      <c r="D1" s="577"/>
      <c r="E1" s="577"/>
      <c r="F1" s="577"/>
      <c r="G1" s="577"/>
      <c r="H1" s="577"/>
      <c r="I1" s="577"/>
    </row>
    <row r="2" spans="1:9">
      <c r="A2" s="412" t="s">
        <v>378</v>
      </c>
      <c r="B2" s="63"/>
      <c r="C2" s="63"/>
      <c r="D2" s="63"/>
      <c r="E2" s="63"/>
      <c r="F2" s="63"/>
      <c r="G2" s="63"/>
      <c r="H2" s="63"/>
      <c r="I2" s="63"/>
    </row>
    <row r="3" spans="1:9">
      <c r="A3" s="63" t="s">
        <v>264</v>
      </c>
      <c r="B3" s="63"/>
      <c r="C3" s="63"/>
      <c r="D3" s="63"/>
      <c r="E3" s="63"/>
      <c r="F3" s="63"/>
      <c r="G3" s="63"/>
      <c r="H3" s="63"/>
      <c r="I3" s="63"/>
    </row>
    <row r="4" spans="1:9">
      <c r="A4" s="610" t="s">
        <v>371</v>
      </c>
      <c r="B4" s="610"/>
      <c r="C4" s="610"/>
      <c r="D4" s="610"/>
      <c r="E4" s="610"/>
      <c r="F4" s="610"/>
      <c r="G4" s="610"/>
      <c r="H4" s="63"/>
      <c r="I4" s="63"/>
    </row>
    <row r="5" spans="1:9">
      <c r="A5" s="578" t="s">
        <v>178</v>
      </c>
      <c r="B5" s="578"/>
      <c r="C5" s="578"/>
      <c r="D5" s="578"/>
      <c r="E5" s="578"/>
      <c r="F5" s="578"/>
      <c r="G5" s="578"/>
      <c r="H5" s="63"/>
      <c r="I5" s="63"/>
    </row>
    <row r="6" spans="1:9">
      <c r="A6" s="515" t="s">
        <v>45</v>
      </c>
      <c r="B6" s="516"/>
      <c r="C6" s="516"/>
      <c r="D6" s="516"/>
      <c r="E6" s="516"/>
      <c r="F6" s="516"/>
      <c r="G6" s="516"/>
      <c r="H6" s="516"/>
      <c r="I6" s="517"/>
    </row>
    <row r="7" spans="1:9">
      <c r="A7" s="277" t="s">
        <v>46</v>
      </c>
      <c r="B7" s="473" t="s">
        <v>47</v>
      </c>
      <c r="C7" s="474"/>
      <c r="D7" s="474"/>
      <c r="E7" s="474"/>
      <c r="F7" s="474"/>
      <c r="G7" s="474"/>
      <c r="H7" s="475"/>
      <c r="I7" s="64">
        <v>43363</v>
      </c>
    </row>
    <row r="8" spans="1:9">
      <c r="A8" s="277" t="s">
        <v>48</v>
      </c>
      <c r="B8" s="473" t="s">
        <v>49</v>
      </c>
      <c r="C8" s="474"/>
      <c r="D8" s="474"/>
      <c r="E8" s="474"/>
      <c r="F8" s="474"/>
      <c r="G8" s="474"/>
      <c r="H8" s="475"/>
      <c r="I8" s="277" t="s">
        <v>167</v>
      </c>
    </row>
    <row r="9" spans="1:9">
      <c r="A9" s="277" t="s">
        <v>50</v>
      </c>
      <c r="B9" s="473" t="s">
        <v>51</v>
      </c>
      <c r="C9" s="474"/>
      <c r="D9" s="474"/>
      <c r="E9" s="474"/>
      <c r="F9" s="474"/>
      <c r="G9" s="474"/>
      <c r="H9" s="475"/>
      <c r="I9" s="277">
        <v>2017</v>
      </c>
    </row>
    <row r="10" spans="1:9">
      <c r="A10" s="277" t="s">
        <v>52</v>
      </c>
      <c r="B10" s="473" t="s">
        <v>53</v>
      </c>
      <c r="C10" s="474"/>
      <c r="D10" s="474"/>
      <c r="E10" s="474"/>
      <c r="F10" s="474"/>
      <c r="G10" s="474"/>
      <c r="H10" s="475"/>
      <c r="I10" s="277">
        <v>12</v>
      </c>
    </row>
    <row r="11" spans="1:9">
      <c r="A11" s="276"/>
      <c r="B11" s="282"/>
      <c r="C11" s="282"/>
      <c r="D11" s="282"/>
      <c r="E11" s="282"/>
      <c r="F11" s="282"/>
      <c r="G11" s="282"/>
      <c r="H11" s="276"/>
      <c r="I11" s="276"/>
    </row>
    <row r="12" spans="1:9">
      <c r="A12" s="515" t="s">
        <v>54</v>
      </c>
      <c r="B12" s="516"/>
      <c r="C12" s="516"/>
      <c r="D12" s="516"/>
      <c r="E12" s="516"/>
      <c r="F12" s="516"/>
      <c r="G12" s="516"/>
      <c r="H12" s="516"/>
      <c r="I12" s="517"/>
    </row>
    <row r="13" spans="1:9">
      <c r="A13" s="501" t="s">
        <v>55</v>
      </c>
      <c r="B13" s="501"/>
      <c r="C13" s="502" t="s">
        <v>56</v>
      </c>
      <c r="D13" s="609"/>
      <c r="E13" s="501" t="s">
        <v>57</v>
      </c>
      <c r="F13" s="501"/>
      <c r="G13" s="501"/>
      <c r="H13" s="501"/>
      <c r="I13" s="501"/>
    </row>
    <row r="14" spans="1:9">
      <c r="A14" s="501" t="s">
        <v>58</v>
      </c>
      <c r="B14" s="501"/>
      <c r="C14" s="502" t="s">
        <v>59</v>
      </c>
      <c r="D14" s="609"/>
      <c r="E14" s="501" t="s">
        <v>379</v>
      </c>
      <c r="F14" s="501"/>
      <c r="G14" s="501"/>
      <c r="H14" s="501"/>
      <c r="I14" s="501"/>
    </row>
    <row r="15" spans="1:9">
      <c r="A15" s="276"/>
      <c r="B15" s="282"/>
      <c r="C15" s="282"/>
      <c r="D15" s="282"/>
      <c r="E15" s="282"/>
      <c r="F15" s="282"/>
      <c r="G15" s="282"/>
      <c r="H15" s="276"/>
      <c r="I15" s="276"/>
    </row>
    <row r="16" spans="1:9">
      <c r="A16" s="515" t="s">
        <v>60</v>
      </c>
      <c r="B16" s="516"/>
      <c r="C16" s="516"/>
      <c r="D16" s="516"/>
      <c r="E16" s="516"/>
      <c r="F16" s="516"/>
      <c r="G16" s="516"/>
      <c r="H16" s="516"/>
      <c r="I16" s="517"/>
    </row>
    <row r="17" spans="1:9" ht="25.5">
      <c r="A17" s="277">
        <v>1</v>
      </c>
      <c r="B17" s="473" t="s">
        <v>61</v>
      </c>
      <c r="C17" s="474"/>
      <c r="D17" s="474"/>
      <c r="E17" s="474"/>
      <c r="F17" s="474"/>
      <c r="G17" s="474"/>
      <c r="H17" s="475"/>
      <c r="I17" s="65" t="s">
        <v>168</v>
      </c>
    </row>
    <row r="18" spans="1:9">
      <c r="A18" s="277">
        <v>2</v>
      </c>
      <c r="B18" s="473" t="s">
        <v>62</v>
      </c>
      <c r="C18" s="474"/>
      <c r="D18" s="474"/>
      <c r="E18" s="474"/>
      <c r="F18" s="474"/>
      <c r="G18" s="474"/>
      <c r="H18" s="475"/>
      <c r="I18" s="277" t="s">
        <v>169</v>
      </c>
    </row>
    <row r="19" spans="1:9">
      <c r="A19" s="277">
        <v>3</v>
      </c>
      <c r="B19" s="473" t="s">
        <v>63</v>
      </c>
      <c r="C19" s="474"/>
      <c r="D19" s="474"/>
      <c r="E19" s="474"/>
      <c r="F19" s="474"/>
      <c r="G19" s="474"/>
      <c r="H19" s="475"/>
      <c r="I19" s="66">
        <v>1700</v>
      </c>
    </row>
    <row r="20" spans="1:9">
      <c r="A20" s="277">
        <v>4</v>
      </c>
      <c r="B20" s="473" t="s">
        <v>64</v>
      </c>
      <c r="C20" s="474"/>
      <c r="D20" s="474"/>
      <c r="E20" s="474"/>
      <c r="F20" s="474"/>
      <c r="G20" s="474"/>
      <c r="H20" s="475"/>
      <c r="I20" s="411" t="s">
        <v>266</v>
      </c>
    </row>
    <row r="21" spans="1:9">
      <c r="A21" s="277">
        <v>5</v>
      </c>
      <c r="B21" s="473" t="s">
        <v>65</v>
      </c>
      <c r="C21" s="474"/>
      <c r="D21" s="474"/>
      <c r="E21" s="474"/>
      <c r="F21" s="474"/>
      <c r="G21" s="474"/>
      <c r="H21" s="475"/>
      <c r="I21" s="64" t="s">
        <v>170</v>
      </c>
    </row>
    <row r="22" spans="1:9">
      <c r="A22" s="625"/>
      <c r="B22" s="625"/>
      <c r="C22" s="625"/>
      <c r="D22" s="625"/>
      <c r="E22" s="625"/>
      <c r="F22" s="625"/>
      <c r="G22" s="625"/>
      <c r="H22" s="625"/>
      <c r="I22" s="625"/>
    </row>
    <row r="23" spans="1:9">
      <c r="A23" s="512" t="s">
        <v>66</v>
      </c>
      <c r="B23" s="513"/>
      <c r="C23" s="513"/>
      <c r="D23" s="513"/>
      <c r="E23" s="513"/>
      <c r="F23" s="513"/>
      <c r="G23" s="513"/>
      <c r="H23" s="513"/>
      <c r="I23" s="514"/>
    </row>
    <row r="24" spans="1:9">
      <c r="A24" s="428">
        <v>1</v>
      </c>
      <c r="B24" s="515" t="s">
        <v>67</v>
      </c>
      <c r="C24" s="516"/>
      <c r="D24" s="516"/>
      <c r="E24" s="516"/>
      <c r="F24" s="516"/>
      <c r="G24" s="517"/>
      <c r="H24" s="428" t="s">
        <v>68</v>
      </c>
      <c r="I24" s="428" t="s">
        <v>69</v>
      </c>
    </row>
    <row r="25" spans="1:9">
      <c r="A25" s="278" t="s">
        <v>46</v>
      </c>
      <c r="B25" s="473" t="s">
        <v>70</v>
      </c>
      <c r="C25" s="474"/>
      <c r="D25" s="474"/>
      <c r="E25" s="474"/>
      <c r="F25" s="474"/>
      <c r="G25" s="475"/>
      <c r="H25" s="280"/>
      <c r="I25" s="67">
        <f>I19</f>
        <v>1700</v>
      </c>
    </row>
    <row r="26" spans="1:9">
      <c r="A26" s="278" t="s">
        <v>48</v>
      </c>
      <c r="B26" s="473" t="s">
        <v>71</v>
      </c>
      <c r="C26" s="474"/>
      <c r="D26" s="474"/>
      <c r="E26" s="474"/>
      <c r="F26" s="474"/>
      <c r="G26" s="475"/>
      <c r="H26" s="68"/>
      <c r="I26" s="67">
        <v>0</v>
      </c>
    </row>
    <row r="27" spans="1:9">
      <c r="A27" s="278" t="s">
        <v>50</v>
      </c>
      <c r="B27" s="473" t="s">
        <v>72</v>
      </c>
      <c r="C27" s="474"/>
      <c r="D27" s="474"/>
      <c r="E27" s="474"/>
      <c r="F27" s="474"/>
      <c r="G27" s="475"/>
      <c r="H27" s="68"/>
      <c r="I27" s="67">
        <f>H27*I25</f>
        <v>0</v>
      </c>
    </row>
    <row r="28" spans="1:9">
      <c r="A28" s="278" t="s">
        <v>52</v>
      </c>
      <c r="B28" s="473" t="s">
        <v>73</v>
      </c>
      <c r="C28" s="474"/>
      <c r="D28" s="474"/>
      <c r="E28" s="474"/>
      <c r="F28" s="474"/>
      <c r="G28" s="475"/>
      <c r="H28" s="68"/>
      <c r="I28" s="67">
        <v>0</v>
      </c>
    </row>
    <row r="29" spans="1:9">
      <c r="A29" s="69" t="s">
        <v>74</v>
      </c>
      <c r="B29" s="473" t="s">
        <v>75</v>
      </c>
      <c r="C29" s="474"/>
      <c r="D29" s="474"/>
      <c r="E29" s="474"/>
      <c r="F29" s="474"/>
      <c r="G29" s="475"/>
      <c r="H29" s="70"/>
      <c r="I29" s="67">
        <v>0</v>
      </c>
    </row>
    <row r="30" spans="1:9">
      <c r="A30" s="69" t="s">
        <v>76</v>
      </c>
      <c r="B30" s="473" t="s">
        <v>78</v>
      </c>
      <c r="C30" s="474"/>
      <c r="D30" s="474"/>
      <c r="E30" s="474"/>
      <c r="F30" s="474"/>
      <c r="G30" s="475"/>
      <c r="H30" s="68"/>
      <c r="I30" s="67">
        <v>0</v>
      </c>
    </row>
    <row r="31" spans="1:9">
      <c r="A31" s="572" t="s">
        <v>79</v>
      </c>
      <c r="B31" s="573"/>
      <c r="C31" s="573"/>
      <c r="D31" s="573"/>
      <c r="E31" s="573"/>
      <c r="F31" s="573"/>
      <c r="G31" s="573"/>
      <c r="H31" s="574"/>
      <c r="I31" s="71">
        <f>SUM(I25:I30)</f>
        <v>1700</v>
      </c>
    </row>
    <row r="32" spans="1:9">
      <c r="A32" s="575" t="s">
        <v>334</v>
      </c>
      <c r="B32" s="575"/>
      <c r="C32" s="575"/>
      <c r="D32" s="575"/>
      <c r="E32" s="575"/>
      <c r="F32" s="575"/>
      <c r="G32" s="575"/>
      <c r="H32" s="575"/>
      <c r="I32" s="575"/>
    </row>
    <row r="33" spans="1:12">
      <c r="A33" s="72"/>
      <c r="B33" s="72"/>
      <c r="C33" s="72"/>
      <c r="D33" s="72"/>
      <c r="E33" s="72"/>
      <c r="F33" s="72"/>
      <c r="G33" s="72"/>
      <c r="H33" s="72"/>
      <c r="I33" s="364"/>
    </row>
    <row r="34" spans="1:12">
      <c r="A34" s="72"/>
      <c r="B34" s="72"/>
      <c r="C34" s="72"/>
      <c r="D34" s="72"/>
      <c r="E34" s="72"/>
      <c r="F34" s="72"/>
      <c r="G34" s="72"/>
      <c r="H34" s="72"/>
      <c r="I34" s="73"/>
      <c r="J34" s="74"/>
    </row>
    <row r="35" spans="1:12">
      <c r="A35" s="512" t="s">
        <v>80</v>
      </c>
      <c r="B35" s="513"/>
      <c r="C35" s="513"/>
      <c r="D35" s="513"/>
      <c r="E35" s="513"/>
      <c r="F35" s="513"/>
      <c r="G35" s="513"/>
      <c r="H35" s="513"/>
      <c r="I35" s="514"/>
      <c r="J35" s="74"/>
    </row>
    <row r="36" spans="1:12">
      <c r="A36" s="515" t="s">
        <v>81</v>
      </c>
      <c r="B36" s="516"/>
      <c r="C36" s="516"/>
      <c r="D36" s="516"/>
      <c r="E36" s="516"/>
      <c r="F36" s="516"/>
      <c r="G36" s="517"/>
      <c r="H36" s="428" t="s">
        <v>68</v>
      </c>
      <c r="I36" s="428" t="s">
        <v>69</v>
      </c>
      <c r="J36" s="74"/>
    </row>
    <row r="37" spans="1:12">
      <c r="A37" s="278" t="s">
        <v>46</v>
      </c>
      <c r="B37" s="473" t="s">
        <v>320</v>
      </c>
      <c r="C37" s="474"/>
      <c r="D37" s="474"/>
      <c r="E37" s="474"/>
      <c r="F37" s="474"/>
      <c r="G37" s="475"/>
      <c r="H37" s="75">
        <f>1/12</f>
        <v>8.3333333333333329E-2</v>
      </c>
      <c r="I37" s="76">
        <f>$I$31*H37</f>
        <v>141.66666666666666</v>
      </c>
      <c r="J37" s="74"/>
    </row>
    <row r="38" spans="1:12" ht="12.75" customHeight="1">
      <c r="A38" s="278" t="s">
        <v>48</v>
      </c>
      <c r="B38" s="535" t="s">
        <v>368</v>
      </c>
      <c r="C38" s="536"/>
      <c r="D38" s="536"/>
      <c r="E38" s="536"/>
      <c r="F38" s="536"/>
      <c r="G38" s="537"/>
      <c r="H38" s="77">
        <f>((1/11)+((1/3)/11))</f>
        <v>0.12121212121212122</v>
      </c>
      <c r="I38" s="76">
        <f>H38*I31</f>
        <v>206.06060606060606</v>
      </c>
      <c r="J38" s="74"/>
    </row>
    <row r="39" spans="1:12">
      <c r="A39" s="572" t="s">
        <v>82</v>
      </c>
      <c r="B39" s="573"/>
      <c r="C39" s="573"/>
      <c r="D39" s="573"/>
      <c r="E39" s="573"/>
      <c r="F39" s="573"/>
      <c r="G39" s="574"/>
      <c r="H39" s="78">
        <f>TRUNC(SUM(H37:H38),4)</f>
        <v>0.20449999999999999</v>
      </c>
      <c r="I39" s="79">
        <f>TRUNC(SUM(I37:I38),2)</f>
        <v>347.72</v>
      </c>
      <c r="J39" s="74"/>
    </row>
    <row r="40" spans="1:12" ht="92.25" customHeight="1">
      <c r="A40" s="568" t="s">
        <v>335</v>
      </c>
      <c r="B40" s="614"/>
      <c r="C40" s="614"/>
      <c r="D40" s="614"/>
      <c r="E40" s="614"/>
      <c r="F40" s="614"/>
      <c r="G40" s="614"/>
      <c r="H40" s="614"/>
      <c r="I40" s="615"/>
      <c r="J40" s="74"/>
    </row>
    <row r="41" spans="1:12" ht="15.75" customHeight="1">
      <c r="A41" s="365"/>
      <c r="B41" s="366"/>
      <c r="C41" s="366"/>
      <c r="D41" s="366"/>
      <c r="E41" s="366"/>
      <c r="F41" s="366"/>
      <c r="G41" s="366"/>
      <c r="H41" s="366"/>
      <c r="I41" s="366"/>
      <c r="J41" s="74"/>
    </row>
    <row r="42" spans="1:12" ht="24.75" customHeight="1">
      <c r="A42" s="616" t="s">
        <v>336</v>
      </c>
      <c r="B42" s="617"/>
      <c r="C42" s="617"/>
      <c r="D42" s="617"/>
      <c r="E42" s="617"/>
      <c r="F42" s="617"/>
      <c r="G42" s="617"/>
      <c r="H42" s="617"/>
      <c r="I42" s="405">
        <f>I31+I39</f>
        <v>2047.72</v>
      </c>
      <c r="J42" s="74"/>
      <c r="K42" s="80"/>
      <c r="L42" s="81"/>
    </row>
    <row r="43" spans="1:12">
      <c r="A43" s="611" t="s">
        <v>83</v>
      </c>
      <c r="B43" s="612"/>
      <c r="C43" s="612"/>
      <c r="D43" s="612"/>
      <c r="E43" s="612"/>
      <c r="F43" s="612"/>
      <c r="G43" s="613"/>
      <c r="H43" s="406" t="s">
        <v>68</v>
      </c>
      <c r="I43" s="406" t="s">
        <v>69</v>
      </c>
      <c r="J43" s="74"/>
      <c r="K43" s="80"/>
    </row>
    <row r="44" spans="1:12">
      <c r="A44" s="278" t="s">
        <v>46</v>
      </c>
      <c r="B44" s="473" t="s">
        <v>84</v>
      </c>
      <c r="C44" s="474"/>
      <c r="D44" s="474"/>
      <c r="E44" s="474"/>
      <c r="F44" s="474"/>
      <c r="G44" s="475"/>
      <c r="H44" s="75">
        <v>0.2</v>
      </c>
      <c r="I44" s="76">
        <f>H44*$I$31</f>
        <v>340</v>
      </c>
      <c r="J44" s="74"/>
      <c r="K44" s="80"/>
    </row>
    <row r="45" spans="1:12">
      <c r="A45" s="278" t="s">
        <v>48</v>
      </c>
      <c r="B45" s="473" t="s">
        <v>85</v>
      </c>
      <c r="C45" s="474"/>
      <c r="D45" s="474"/>
      <c r="E45" s="474"/>
      <c r="F45" s="474"/>
      <c r="G45" s="475"/>
      <c r="H45" s="75">
        <v>2.5000000000000001E-2</v>
      </c>
      <c r="I45" s="76">
        <f t="shared" ref="I45:I51" si="0">H45*$I$31</f>
        <v>42.5</v>
      </c>
      <c r="J45" s="74"/>
    </row>
    <row r="46" spans="1:12">
      <c r="A46" s="278" t="s">
        <v>50</v>
      </c>
      <c r="B46" s="473" t="s">
        <v>86</v>
      </c>
      <c r="C46" s="474"/>
      <c r="D46" s="474"/>
      <c r="E46" s="474"/>
      <c r="F46" s="474"/>
      <c r="G46" s="475"/>
      <c r="H46" s="83">
        <v>0.03</v>
      </c>
      <c r="I46" s="76">
        <f t="shared" si="0"/>
        <v>51</v>
      </c>
      <c r="J46" s="74"/>
    </row>
    <row r="47" spans="1:12">
      <c r="A47" s="278" t="s">
        <v>52</v>
      </c>
      <c r="B47" s="473" t="s">
        <v>87</v>
      </c>
      <c r="C47" s="474"/>
      <c r="D47" s="474"/>
      <c r="E47" s="474"/>
      <c r="F47" s="474"/>
      <c r="G47" s="475"/>
      <c r="H47" s="75">
        <v>1.4999999999999999E-2</v>
      </c>
      <c r="I47" s="76">
        <f t="shared" si="0"/>
        <v>25.5</v>
      </c>
      <c r="J47" s="74"/>
    </row>
    <row r="48" spans="1:12">
      <c r="A48" s="278" t="s">
        <v>74</v>
      </c>
      <c r="B48" s="473" t="s">
        <v>88</v>
      </c>
      <c r="C48" s="474"/>
      <c r="D48" s="474"/>
      <c r="E48" s="474"/>
      <c r="F48" s="474"/>
      <c r="G48" s="475"/>
      <c r="H48" s="75">
        <v>0.01</v>
      </c>
      <c r="I48" s="76">
        <f t="shared" si="0"/>
        <v>17</v>
      </c>
      <c r="J48" s="74"/>
    </row>
    <row r="49" spans="1:12">
      <c r="A49" s="278" t="s">
        <v>76</v>
      </c>
      <c r="B49" s="473" t="s">
        <v>89</v>
      </c>
      <c r="C49" s="474"/>
      <c r="D49" s="474"/>
      <c r="E49" s="474"/>
      <c r="F49" s="474"/>
      <c r="G49" s="475"/>
      <c r="H49" s="75">
        <v>6.0000000000000001E-3</v>
      </c>
      <c r="I49" s="76">
        <f t="shared" si="0"/>
        <v>10.200000000000001</v>
      </c>
      <c r="J49" s="74"/>
    </row>
    <row r="50" spans="1:12">
      <c r="A50" s="278" t="s">
        <v>77</v>
      </c>
      <c r="B50" s="473" t="s">
        <v>90</v>
      </c>
      <c r="C50" s="474"/>
      <c r="D50" s="474"/>
      <c r="E50" s="474"/>
      <c r="F50" s="474"/>
      <c r="G50" s="475"/>
      <c r="H50" s="75">
        <v>2E-3</v>
      </c>
      <c r="I50" s="76">
        <f t="shared" si="0"/>
        <v>3.4</v>
      </c>
      <c r="J50" s="74"/>
      <c r="K50" s="84"/>
    </row>
    <row r="51" spans="1:12">
      <c r="A51" s="278" t="s">
        <v>91</v>
      </c>
      <c r="B51" s="473" t="s">
        <v>92</v>
      </c>
      <c r="C51" s="474"/>
      <c r="D51" s="474"/>
      <c r="E51" s="474"/>
      <c r="F51" s="474"/>
      <c r="G51" s="475"/>
      <c r="H51" s="75">
        <v>0.08</v>
      </c>
      <c r="I51" s="76">
        <f t="shared" si="0"/>
        <v>136</v>
      </c>
      <c r="J51" s="74"/>
    </row>
    <row r="52" spans="1:12" ht="16.5" customHeight="1">
      <c r="A52" s="572" t="s">
        <v>93</v>
      </c>
      <c r="B52" s="573"/>
      <c r="C52" s="573"/>
      <c r="D52" s="573"/>
      <c r="E52" s="573"/>
      <c r="F52" s="573"/>
      <c r="G52" s="574"/>
      <c r="H52" s="78">
        <f>SUM(H44:H51)</f>
        <v>0.36800000000000005</v>
      </c>
      <c r="I52" s="79">
        <f>TRUNC(SUM(I44:I51),2)</f>
        <v>625.6</v>
      </c>
      <c r="J52" s="74"/>
    </row>
    <row r="53" spans="1:12" ht="47.25" customHeight="1">
      <c r="A53" s="622" t="s">
        <v>322</v>
      </c>
      <c r="B53" s="623"/>
      <c r="C53" s="623"/>
      <c r="D53" s="623"/>
      <c r="E53" s="623"/>
      <c r="F53" s="623"/>
      <c r="G53" s="623"/>
      <c r="H53" s="623"/>
      <c r="I53" s="624"/>
      <c r="J53" s="74"/>
    </row>
    <row r="54" spans="1:12">
      <c r="A54" s="618"/>
      <c r="B54" s="540"/>
      <c r="C54" s="540"/>
      <c r="D54" s="540"/>
      <c r="E54" s="540"/>
      <c r="F54" s="540"/>
      <c r="G54" s="540"/>
      <c r="H54" s="540"/>
      <c r="I54" s="540"/>
      <c r="J54" s="74"/>
    </row>
    <row r="55" spans="1:12">
      <c r="A55" s="611" t="s">
        <v>94</v>
      </c>
      <c r="B55" s="612"/>
      <c r="C55" s="612"/>
      <c r="D55" s="612"/>
      <c r="E55" s="612"/>
      <c r="F55" s="612"/>
      <c r="G55" s="613"/>
      <c r="H55" s="407"/>
      <c r="I55" s="406" t="s">
        <v>69</v>
      </c>
      <c r="J55" s="74"/>
    </row>
    <row r="56" spans="1:12">
      <c r="A56" s="278" t="s">
        <v>46</v>
      </c>
      <c r="B56" s="619" t="s">
        <v>95</v>
      </c>
      <c r="C56" s="620"/>
      <c r="D56" s="620"/>
      <c r="E56" s="620"/>
      <c r="F56" s="620"/>
      <c r="G56" s="621"/>
      <c r="H56" s="277" t="s">
        <v>96</v>
      </c>
      <c r="I56" s="85">
        <f>(3.6*2*22)-(I25*0.06)</f>
        <v>56.400000000000006</v>
      </c>
      <c r="J56" s="74"/>
    </row>
    <row r="57" spans="1:12">
      <c r="A57" s="278" t="s">
        <v>48</v>
      </c>
      <c r="B57" s="619" t="s">
        <v>97</v>
      </c>
      <c r="C57" s="620"/>
      <c r="D57" s="620"/>
      <c r="E57" s="620"/>
      <c r="F57" s="620"/>
      <c r="G57" s="621"/>
      <c r="H57" s="277" t="s">
        <v>96</v>
      </c>
      <c r="I57" s="85">
        <f>14.75*22</f>
        <v>324.5</v>
      </c>
      <c r="J57" s="74"/>
    </row>
    <row r="58" spans="1:12">
      <c r="A58" s="278" t="s">
        <v>50</v>
      </c>
      <c r="B58" s="619" t="s">
        <v>98</v>
      </c>
      <c r="C58" s="620"/>
      <c r="D58" s="620"/>
      <c r="E58" s="620"/>
      <c r="F58" s="620"/>
      <c r="G58" s="621"/>
      <c r="H58" s="277" t="s">
        <v>96</v>
      </c>
      <c r="I58" s="85"/>
      <c r="J58" s="74"/>
    </row>
    <row r="59" spans="1:12">
      <c r="A59" s="278" t="s">
        <v>52</v>
      </c>
      <c r="B59" s="619" t="s">
        <v>78</v>
      </c>
      <c r="C59" s="620"/>
      <c r="D59" s="620"/>
      <c r="E59" s="620"/>
      <c r="F59" s="620"/>
      <c r="G59" s="621"/>
      <c r="H59" s="277" t="s">
        <v>96</v>
      </c>
      <c r="I59" s="85">
        <v>0</v>
      </c>
      <c r="J59" s="74"/>
    </row>
    <row r="60" spans="1:12">
      <c r="A60" s="572" t="s">
        <v>99</v>
      </c>
      <c r="B60" s="573"/>
      <c r="C60" s="573"/>
      <c r="D60" s="573"/>
      <c r="E60" s="573"/>
      <c r="F60" s="573"/>
      <c r="G60" s="573"/>
      <c r="H60" s="574"/>
      <c r="I60" s="79">
        <f>TRUNC(SUM(I56:I59),2)</f>
        <v>380.9</v>
      </c>
      <c r="J60" s="74"/>
    </row>
    <row r="61" spans="1:12" ht="39.75" customHeight="1">
      <c r="A61" s="561" t="s">
        <v>338</v>
      </c>
      <c r="B61" s="562"/>
      <c r="C61" s="562"/>
      <c r="D61" s="562"/>
      <c r="E61" s="562"/>
      <c r="F61" s="562"/>
      <c r="G61" s="562"/>
      <c r="H61" s="562"/>
      <c r="I61" s="563"/>
      <c r="J61" s="74"/>
    </row>
    <row r="62" spans="1:12" ht="20.25" customHeight="1">
      <c r="A62" s="367"/>
      <c r="B62" s="367"/>
      <c r="C62" s="367"/>
      <c r="D62" s="367"/>
      <c r="E62" s="367"/>
      <c r="F62" s="367"/>
      <c r="G62" s="367"/>
      <c r="H62" s="367"/>
      <c r="I62" s="367"/>
      <c r="J62" s="74"/>
    </row>
    <row r="63" spans="1:12">
      <c r="A63" s="611" t="s">
        <v>100</v>
      </c>
      <c r="B63" s="612"/>
      <c r="C63" s="612"/>
      <c r="D63" s="612"/>
      <c r="E63" s="612"/>
      <c r="F63" s="612"/>
      <c r="G63" s="612"/>
      <c r="H63" s="612"/>
      <c r="I63" s="613"/>
      <c r="J63" s="74"/>
    </row>
    <row r="64" spans="1:12" ht="15">
      <c r="A64" s="572" t="s">
        <v>101</v>
      </c>
      <c r="B64" s="573"/>
      <c r="C64" s="573"/>
      <c r="D64" s="573"/>
      <c r="E64" s="573"/>
      <c r="F64" s="573"/>
      <c r="G64" s="573"/>
      <c r="H64" s="574"/>
      <c r="I64" s="278" t="s">
        <v>69</v>
      </c>
      <c r="J64" s="74"/>
      <c r="L64" s="371"/>
    </row>
    <row r="65" spans="1:13" ht="15">
      <c r="A65" s="278" t="s">
        <v>102</v>
      </c>
      <c r="B65" s="502" t="s">
        <v>103</v>
      </c>
      <c r="C65" s="625"/>
      <c r="D65" s="625"/>
      <c r="E65" s="625"/>
      <c r="F65" s="625"/>
      <c r="G65" s="625"/>
      <c r="H65" s="609"/>
      <c r="I65" s="76">
        <f>I39</f>
        <v>347.72</v>
      </c>
      <c r="J65" s="74"/>
      <c r="L65" s="371"/>
    </row>
    <row r="66" spans="1:13">
      <c r="A66" s="69" t="s">
        <v>104</v>
      </c>
      <c r="B66" s="502" t="s">
        <v>105</v>
      </c>
      <c r="C66" s="625"/>
      <c r="D66" s="625"/>
      <c r="E66" s="625"/>
      <c r="F66" s="625"/>
      <c r="G66" s="625"/>
      <c r="H66" s="609"/>
      <c r="I66" s="86">
        <f>I52</f>
        <v>625.6</v>
      </c>
      <c r="J66" s="74"/>
    </row>
    <row r="67" spans="1:13">
      <c r="A67" s="69" t="s">
        <v>106</v>
      </c>
      <c r="B67" s="502" t="s">
        <v>107</v>
      </c>
      <c r="C67" s="625"/>
      <c r="D67" s="625"/>
      <c r="E67" s="625"/>
      <c r="F67" s="625"/>
      <c r="G67" s="625"/>
      <c r="H67" s="609"/>
      <c r="I67" s="86">
        <f>I60</f>
        <v>380.9</v>
      </c>
      <c r="J67" s="74"/>
    </row>
    <row r="68" spans="1:13">
      <c r="A68" s="572" t="s">
        <v>108</v>
      </c>
      <c r="B68" s="573"/>
      <c r="C68" s="573"/>
      <c r="D68" s="573"/>
      <c r="E68" s="573"/>
      <c r="F68" s="573"/>
      <c r="G68" s="573"/>
      <c r="H68" s="574"/>
      <c r="I68" s="87">
        <f>TRUNC(SUM(I65:I67),2)</f>
        <v>1354.22</v>
      </c>
      <c r="J68" s="74"/>
    </row>
    <row r="69" spans="1:13" ht="24" customHeight="1">
      <c r="A69" s="374"/>
      <c r="B69" s="374"/>
      <c r="C69" s="374"/>
      <c r="D69" s="374"/>
      <c r="E69" s="374"/>
      <c r="F69" s="374"/>
      <c r="G69" s="374"/>
      <c r="H69" s="374"/>
      <c r="I69" s="375"/>
      <c r="J69" s="74"/>
    </row>
    <row r="70" spans="1:13" ht="12.75" customHeight="1">
      <c r="A70" s="626" t="s">
        <v>109</v>
      </c>
      <c r="B70" s="513"/>
      <c r="C70" s="513"/>
      <c r="D70" s="513"/>
      <c r="E70" s="513"/>
      <c r="F70" s="513"/>
      <c r="G70" s="513"/>
      <c r="H70" s="513"/>
      <c r="I70" s="513"/>
      <c r="J70" s="74"/>
    </row>
    <row r="71" spans="1:13" ht="15" customHeight="1">
      <c r="A71" s="627" t="s">
        <v>343</v>
      </c>
      <c r="B71" s="628"/>
      <c r="C71" s="628"/>
      <c r="D71" s="628"/>
      <c r="E71" s="628"/>
      <c r="F71" s="628"/>
      <c r="G71" s="628"/>
      <c r="H71" s="629"/>
      <c r="I71" s="376">
        <f>I31+I39</f>
        <v>2047.72</v>
      </c>
      <c r="J71" s="74"/>
      <c r="L71" s="370"/>
      <c r="M71" s="370"/>
    </row>
    <row r="72" spans="1:13" ht="12.75" customHeight="1">
      <c r="A72" s="281">
        <v>3</v>
      </c>
      <c r="B72" s="544" t="s">
        <v>110</v>
      </c>
      <c r="C72" s="545"/>
      <c r="D72" s="545"/>
      <c r="E72" s="545"/>
      <c r="F72" s="545"/>
      <c r="G72" s="630"/>
      <c r="H72" s="281" t="s">
        <v>68</v>
      </c>
      <c r="I72" s="281" t="s">
        <v>69</v>
      </c>
      <c r="J72" s="315"/>
    </row>
    <row r="73" spans="1:13" ht="27" customHeight="1">
      <c r="A73" s="281" t="s">
        <v>46</v>
      </c>
      <c r="B73" s="535" t="s">
        <v>179</v>
      </c>
      <c r="C73" s="536"/>
      <c r="D73" s="536"/>
      <c r="E73" s="536"/>
      <c r="F73" s="536"/>
      <c r="G73" s="537"/>
      <c r="H73" s="77">
        <f>(1/12)*5%</f>
        <v>4.1666666666666666E-3</v>
      </c>
      <c r="I73" s="88">
        <f>H73*$I$71</f>
        <v>8.5321666666666669</v>
      </c>
      <c r="J73" s="89"/>
    </row>
    <row r="74" spans="1:13">
      <c r="A74" s="281" t="s">
        <v>48</v>
      </c>
      <c r="B74" s="546" t="s">
        <v>111</v>
      </c>
      <c r="C74" s="547"/>
      <c r="D74" s="547"/>
      <c r="E74" s="547"/>
      <c r="F74" s="547"/>
      <c r="G74" s="548"/>
      <c r="H74" s="77">
        <f>8%*H73</f>
        <v>3.3333333333333332E-4</v>
      </c>
      <c r="I74" s="88">
        <f t="shared" ref="I74:I78" si="1">H74*$I$71</f>
        <v>0.68257333333333337</v>
      </c>
      <c r="J74" s="89"/>
    </row>
    <row r="75" spans="1:13" ht="51" customHeight="1">
      <c r="A75" s="281" t="s">
        <v>50</v>
      </c>
      <c r="B75" s="535" t="s">
        <v>323</v>
      </c>
      <c r="C75" s="536"/>
      <c r="D75" s="536"/>
      <c r="E75" s="536"/>
      <c r="F75" s="536"/>
      <c r="G75" s="537"/>
      <c r="H75" s="77">
        <f>((8%*50%*5%*(1+1/12+1/12+(1/3/12))))</f>
        <v>2.3888888888888883E-3</v>
      </c>
      <c r="I75" s="88">
        <f t="shared" si="1"/>
        <v>4.8917755555555544</v>
      </c>
      <c r="J75" s="372"/>
      <c r="L75" s="369"/>
    </row>
    <row r="76" spans="1:13" ht="29.25" customHeight="1">
      <c r="A76" s="281" t="s">
        <v>52</v>
      </c>
      <c r="B76" s="535" t="s">
        <v>324</v>
      </c>
      <c r="C76" s="536"/>
      <c r="D76" s="536"/>
      <c r="E76" s="536"/>
      <c r="F76" s="536"/>
      <c r="G76" s="537"/>
      <c r="H76" s="77">
        <f>((1/30)*7)/12</f>
        <v>1.9444444444444445E-2</v>
      </c>
      <c r="I76" s="88">
        <f t="shared" si="1"/>
        <v>39.81677777777778</v>
      </c>
      <c r="J76" s="378"/>
    </row>
    <row r="77" spans="1:13" ht="16.5" customHeight="1">
      <c r="A77" s="281" t="s">
        <v>74</v>
      </c>
      <c r="B77" s="546" t="s">
        <v>112</v>
      </c>
      <c r="C77" s="547"/>
      <c r="D77" s="547"/>
      <c r="E77" s="547"/>
      <c r="F77" s="547"/>
      <c r="G77" s="548"/>
      <c r="H77" s="77">
        <f>H52*H76</f>
        <v>7.1555555555555565E-3</v>
      </c>
      <c r="I77" s="88">
        <f t="shared" si="1"/>
        <v>14.652574222222224</v>
      </c>
      <c r="J77" s="377"/>
    </row>
    <row r="78" spans="1:13" ht="27" customHeight="1">
      <c r="A78" s="281" t="s">
        <v>76</v>
      </c>
      <c r="B78" s="535" t="s">
        <v>325</v>
      </c>
      <c r="C78" s="536"/>
      <c r="D78" s="536"/>
      <c r="E78" s="536"/>
      <c r="F78" s="536"/>
      <c r="G78" s="537"/>
      <c r="H78" s="77">
        <f>((8%*50%*100%*(1+1/12+1/12+(1/3/12))))</f>
        <v>4.7777777777777766E-2</v>
      </c>
      <c r="I78" s="88">
        <f t="shared" si="1"/>
        <v>97.835511111111089</v>
      </c>
      <c r="J78" s="74"/>
    </row>
    <row r="79" spans="1:13" ht="17.25" customHeight="1">
      <c r="A79" s="544" t="s">
        <v>113</v>
      </c>
      <c r="B79" s="545"/>
      <c r="C79" s="545"/>
      <c r="D79" s="545"/>
      <c r="E79" s="545"/>
      <c r="F79" s="545"/>
      <c r="G79" s="630"/>
      <c r="H79" s="90">
        <f>TRUNC(SUM(H73:H78),4)</f>
        <v>8.1199999999999994E-2</v>
      </c>
      <c r="I79" s="91">
        <f>TRUNC(SUM(I73:I78),2)</f>
        <v>166.41</v>
      </c>
      <c r="J79" s="74"/>
    </row>
    <row r="80" spans="1:13" ht="17.25" customHeight="1">
      <c r="A80" s="544"/>
      <c r="B80" s="545"/>
      <c r="C80" s="545"/>
      <c r="D80" s="545"/>
      <c r="E80" s="545"/>
      <c r="F80" s="545"/>
      <c r="G80" s="545"/>
      <c r="H80" s="545"/>
      <c r="I80" s="545"/>
      <c r="J80" s="74"/>
    </row>
    <row r="81" spans="1:10">
      <c r="A81" s="512" t="s">
        <v>114</v>
      </c>
      <c r="B81" s="513"/>
      <c r="C81" s="513"/>
      <c r="D81" s="513"/>
      <c r="E81" s="513"/>
      <c r="F81" s="513"/>
      <c r="G81" s="513"/>
      <c r="H81" s="513"/>
      <c r="I81" s="514"/>
      <c r="J81" s="74"/>
    </row>
    <row r="82" spans="1:10" ht="12.75" customHeight="1">
      <c r="A82" s="549" t="s">
        <v>345</v>
      </c>
      <c r="B82" s="550"/>
      <c r="C82" s="550"/>
      <c r="D82" s="550"/>
      <c r="E82" s="550"/>
      <c r="F82" s="550"/>
      <c r="G82" s="550"/>
      <c r="H82" s="551"/>
      <c r="I82" s="215">
        <f>I31+I68+I79</f>
        <v>3220.63</v>
      </c>
      <c r="J82" s="89"/>
    </row>
    <row r="83" spans="1:10" ht="15" customHeight="1">
      <c r="A83" s="572" t="s">
        <v>350</v>
      </c>
      <c r="B83" s="573"/>
      <c r="C83" s="573"/>
      <c r="D83" s="573"/>
      <c r="E83" s="573"/>
      <c r="F83" s="573"/>
      <c r="G83" s="574"/>
      <c r="H83" s="278" t="s">
        <v>68</v>
      </c>
      <c r="I83" s="278" t="s">
        <v>69</v>
      </c>
      <c r="J83" s="74"/>
    </row>
    <row r="84" spans="1:10" ht="15" customHeight="1">
      <c r="A84" s="281" t="s">
        <v>46</v>
      </c>
      <c r="B84" s="535" t="s">
        <v>369</v>
      </c>
      <c r="C84" s="536"/>
      <c r="D84" s="536"/>
      <c r="E84" s="536"/>
      <c r="F84" s="536"/>
      <c r="G84" s="537"/>
      <c r="H84" s="75">
        <f>((1/12+1/12+((1/3)/12))/12)</f>
        <v>1.6203703703703703E-2</v>
      </c>
      <c r="I84" s="76">
        <f>$I$82*H84</f>
        <v>52.186134259259255</v>
      </c>
      <c r="J84" s="74"/>
    </row>
    <row r="85" spans="1:10" ht="12" customHeight="1">
      <c r="A85" s="281" t="s">
        <v>48</v>
      </c>
      <c r="B85" s="546" t="s">
        <v>344</v>
      </c>
      <c r="C85" s="547"/>
      <c r="D85" s="547"/>
      <c r="E85" s="547"/>
      <c r="F85" s="547"/>
      <c r="G85" s="548"/>
      <c r="H85" s="77">
        <f>((1/30)/12)*3</f>
        <v>8.3333333333333332E-3</v>
      </c>
      <c r="I85" s="76">
        <f t="shared" ref="I85:I89" si="2">$I$82*H85</f>
        <v>26.838583333333332</v>
      </c>
      <c r="J85" s="74"/>
    </row>
    <row r="86" spans="1:10">
      <c r="A86" s="281" t="s">
        <v>50</v>
      </c>
      <c r="B86" s="546" t="s">
        <v>346</v>
      </c>
      <c r="C86" s="547"/>
      <c r="D86" s="547"/>
      <c r="E86" s="547"/>
      <c r="F86" s="547"/>
      <c r="G86" s="548"/>
      <c r="H86" s="77">
        <f>((5/30)/12)*0.02</f>
        <v>2.7777777777777778E-4</v>
      </c>
      <c r="I86" s="76">
        <f t="shared" si="2"/>
        <v>0.89461944444444452</v>
      </c>
      <c r="J86" s="74"/>
    </row>
    <row r="87" spans="1:10" ht="12.75" customHeight="1">
      <c r="A87" s="281" t="s">
        <v>52</v>
      </c>
      <c r="B87" s="535" t="s">
        <v>347</v>
      </c>
      <c r="C87" s="536"/>
      <c r="D87" s="536"/>
      <c r="E87" s="536"/>
      <c r="F87" s="536"/>
      <c r="G87" s="537"/>
      <c r="H87" s="77">
        <f>((15/30)/12)*1%</f>
        <v>4.1666666666666664E-4</v>
      </c>
      <c r="I87" s="76">
        <f t="shared" si="2"/>
        <v>1.3419291666666666</v>
      </c>
      <c r="J87" s="74"/>
    </row>
    <row r="88" spans="1:10" ht="12.75" customHeight="1">
      <c r="A88" s="281" t="s">
        <v>74</v>
      </c>
      <c r="B88" s="535" t="s">
        <v>348</v>
      </c>
      <c r="C88" s="536"/>
      <c r="D88" s="536"/>
      <c r="E88" s="536"/>
      <c r="F88" s="536"/>
      <c r="G88" s="537"/>
      <c r="H88" s="77">
        <f>((1/12)*(4/12))*2%</f>
        <v>5.5555555555555556E-4</v>
      </c>
      <c r="I88" s="76">
        <f t="shared" si="2"/>
        <v>1.789238888888889</v>
      </c>
      <c r="J88" s="74"/>
    </row>
    <row r="89" spans="1:10">
      <c r="A89" s="281" t="s">
        <v>76</v>
      </c>
      <c r="B89" s="546" t="s">
        <v>349</v>
      </c>
      <c r="C89" s="547"/>
      <c r="D89" s="547"/>
      <c r="E89" s="547"/>
      <c r="F89" s="547"/>
      <c r="G89" s="548"/>
      <c r="H89" s="77">
        <v>0</v>
      </c>
      <c r="I89" s="76">
        <f t="shared" si="2"/>
        <v>0</v>
      </c>
      <c r="J89" s="74"/>
    </row>
    <row r="90" spans="1:10">
      <c r="A90" s="359"/>
      <c r="B90" s="544" t="s">
        <v>115</v>
      </c>
      <c r="C90" s="545"/>
      <c r="D90" s="545"/>
      <c r="E90" s="545"/>
      <c r="F90" s="545"/>
      <c r="G90" s="630"/>
      <c r="H90" s="78">
        <f>TRUNC(SUM(H84:H89),4)</f>
        <v>2.5700000000000001E-2</v>
      </c>
      <c r="I90" s="79">
        <f>TRUNC(SUM(I84:I89),2)</f>
        <v>83.05</v>
      </c>
      <c r="J90" s="74"/>
    </row>
    <row r="91" spans="1:10" ht="54" customHeight="1">
      <c r="A91" s="631" t="s">
        <v>353</v>
      </c>
      <c r="B91" s="631"/>
      <c r="C91" s="631"/>
      <c r="D91" s="631"/>
      <c r="E91" s="631"/>
      <c r="F91" s="631"/>
      <c r="G91" s="631"/>
      <c r="H91" s="631"/>
      <c r="I91" s="631"/>
      <c r="J91" s="74"/>
    </row>
    <row r="92" spans="1:10">
      <c r="A92" s="539"/>
      <c r="B92" s="540"/>
      <c r="C92" s="540"/>
      <c r="D92" s="540"/>
      <c r="E92" s="540"/>
      <c r="F92" s="540"/>
      <c r="G92" s="540"/>
      <c r="H92" s="540"/>
      <c r="I92" s="540"/>
      <c r="J92" s="74"/>
    </row>
    <row r="93" spans="1:10" ht="12.75" customHeight="1">
      <c r="A93" s="541" t="s">
        <v>352</v>
      </c>
      <c r="B93" s="632"/>
      <c r="C93" s="632"/>
      <c r="D93" s="632"/>
      <c r="E93" s="632"/>
      <c r="F93" s="632"/>
      <c r="G93" s="633"/>
      <c r="H93" s="406" t="s">
        <v>68</v>
      </c>
      <c r="I93" s="406" t="s">
        <v>69</v>
      </c>
      <c r="J93" s="74"/>
    </row>
    <row r="94" spans="1:10" ht="12.75" customHeight="1">
      <c r="A94" s="358" t="s">
        <v>46</v>
      </c>
      <c r="B94" s="529" t="s">
        <v>351</v>
      </c>
      <c r="C94" s="530"/>
      <c r="D94" s="530"/>
      <c r="E94" s="530"/>
      <c r="F94" s="530"/>
      <c r="G94" s="531"/>
      <c r="H94" s="75">
        <v>0</v>
      </c>
      <c r="I94" s="76">
        <f>$I$32*H94</f>
        <v>0</v>
      </c>
      <c r="J94" s="74"/>
    </row>
    <row r="95" spans="1:10" ht="12.75" customHeight="1">
      <c r="A95" s="572" t="s">
        <v>116</v>
      </c>
      <c r="B95" s="573"/>
      <c r="C95" s="573"/>
      <c r="D95" s="573"/>
      <c r="E95" s="573"/>
      <c r="F95" s="573"/>
      <c r="G95" s="574"/>
      <c r="H95" s="78">
        <f>TRUNC(SUM(H94),4)</f>
        <v>0</v>
      </c>
      <c r="I95" s="79">
        <f>TRUNC(SUM(I94),2)</f>
        <v>0</v>
      </c>
      <c r="J95" s="74"/>
    </row>
    <row r="96" spans="1:10">
      <c r="A96" s="539"/>
      <c r="B96" s="540"/>
      <c r="C96" s="540"/>
      <c r="D96" s="540"/>
      <c r="E96" s="540"/>
      <c r="F96" s="540"/>
      <c r="G96" s="540"/>
      <c r="H96" s="540"/>
      <c r="I96" s="540"/>
      <c r="J96" s="74"/>
    </row>
    <row r="97" spans="1:10">
      <c r="A97" s="611" t="s">
        <v>117</v>
      </c>
      <c r="B97" s="612"/>
      <c r="C97" s="612"/>
      <c r="D97" s="612"/>
      <c r="E97" s="612"/>
      <c r="F97" s="612"/>
      <c r="G97" s="612"/>
      <c r="H97" s="612"/>
      <c r="I97" s="613"/>
      <c r="J97" s="74"/>
    </row>
    <row r="98" spans="1:10">
      <c r="A98" s="572" t="s">
        <v>118</v>
      </c>
      <c r="B98" s="573"/>
      <c r="C98" s="573"/>
      <c r="D98" s="573"/>
      <c r="E98" s="573"/>
      <c r="F98" s="573"/>
      <c r="G98" s="573"/>
      <c r="H98" s="574"/>
      <c r="I98" s="278" t="s">
        <v>69</v>
      </c>
      <c r="J98" s="74"/>
    </row>
    <row r="99" spans="1:10">
      <c r="A99" s="278" t="s">
        <v>119</v>
      </c>
      <c r="B99" s="502" t="s">
        <v>354</v>
      </c>
      <c r="C99" s="625"/>
      <c r="D99" s="625"/>
      <c r="E99" s="625"/>
      <c r="F99" s="625"/>
      <c r="G99" s="625"/>
      <c r="H99" s="609"/>
      <c r="I99" s="76">
        <f>I90</f>
        <v>83.05</v>
      </c>
      <c r="J99" s="74"/>
    </row>
    <row r="100" spans="1:10">
      <c r="A100" s="69" t="s">
        <v>120</v>
      </c>
      <c r="B100" s="502" t="s">
        <v>355</v>
      </c>
      <c r="C100" s="625"/>
      <c r="D100" s="625"/>
      <c r="E100" s="625"/>
      <c r="F100" s="625"/>
      <c r="G100" s="625"/>
      <c r="H100" s="609"/>
      <c r="I100" s="86">
        <f>I95</f>
        <v>0</v>
      </c>
      <c r="J100" s="74"/>
    </row>
    <row r="101" spans="1:10">
      <c r="A101" s="572" t="s">
        <v>121</v>
      </c>
      <c r="B101" s="573"/>
      <c r="C101" s="573"/>
      <c r="D101" s="573"/>
      <c r="E101" s="573"/>
      <c r="F101" s="573"/>
      <c r="G101" s="573"/>
      <c r="H101" s="574"/>
      <c r="I101" s="87">
        <f>TRUNC(SUM(I99:I100),2)</f>
        <v>83.05</v>
      </c>
      <c r="J101" s="74"/>
    </row>
    <row r="102" spans="1:10">
      <c r="A102" s="539"/>
      <c r="B102" s="540"/>
      <c r="C102" s="540"/>
      <c r="D102" s="540"/>
      <c r="E102" s="540"/>
      <c r="F102" s="540"/>
      <c r="G102" s="540"/>
      <c r="H102" s="540"/>
      <c r="I102" s="540"/>
      <c r="J102" s="74"/>
    </row>
    <row r="103" spans="1:10">
      <c r="A103" s="512" t="s">
        <v>122</v>
      </c>
      <c r="B103" s="513"/>
      <c r="C103" s="513"/>
      <c r="D103" s="513"/>
      <c r="E103" s="513"/>
      <c r="F103" s="513"/>
      <c r="G103" s="513"/>
      <c r="H103" s="513"/>
      <c r="I103" s="514"/>
      <c r="J103" s="74"/>
    </row>
    <row r="104" spans="1:10">
      <c r="A104" s="278">
        <v>5</v>
      </c>
      <c r="B104" s="572" t="s">
        <v>123</v>
      </c>
      <c r="C104" s="573"/>
      <c r="D104" s="573"/>
      <c r="E104" s="573"/>
      <c r="F104" s="573"/>
      <c r="G104" s="574"/>
      <c r="H104" s="278"/>
      <c r="I104" s="278" t="s">
        <v>69</v>
      </c>
      <c r="J104" s="74"/>
    </row>
    <row r="105" spans="1:10">
      <c r="A105" s="278" t="s">
        <v>46</v>
      </c>
      <c r="B105" s="619" t="s">
        <v>124</v>
      </c>
      <c r="C105" s="620"/>
      <c r="D105" s="620"/>
      <c r="E105" s="620"/>
      <c r="F105" s="620"/>
      <c r="G105" s="621"/>
      <c r="H105" s="277" t="s">
        <v>96</v>
      </c>
      <c r="I105" s="76">
        <f>Uniforme!G10</f>
        <v>42.484999999999999</v>
      </c>
      <c r="J105" s="74"/>
    </row>
    <row r="106" spans="1:10">
      <c r="A106" s="278" t="s">
        <v>48</v>
      </c>
      <c r="B106" s="619" t="s">
        <v>125</v>
      </c>
      <c r="C106" s="620"/>
      <c r="D106" s="620"/>
      <c r="E106" s="620"/>
      <c r="F106" s="620"/>
      <c r="G106" s="621"/>
      <c r="H106" s="277" t="s">
        <v>96</v>
      </c>
      <c r="I106" s="76"/>
      <c r="J106" s="74"/>
    </row>
    <row r="107" spans="1:10">
      <c r="A107" s="279" t="s">
        <v>50</v>
      </c>
      <c r="B107" s="619" t="s">
        <v>126</v>
      </c>
      <c r="C107" s="620"/>
      <c r="D107" s="620"/>
      <c r="E107" s="620"/>
      <c r="F107" s="620"/>
      <c r="G107" s="621"/>
      <c r="H107" s="277" t="s">
        <v>96</v>
      </c>
      <c r="I107" s="76"/>
      <c r="J107" s="74"/>
    </row>
    <row r="108" spans="1:10">
      <c r="A108" s="279" t="s">
        <v>52</v>
      </c>
      <c r="B108" s="619" t="s">
        <v>263</v>
      </c>
      <c r="C108" s="620"/>
      <c r="D108" s="620"/>
      <c r="E108" s="620"/>
      <c r="F108" s="620"/>
      <c r="G108" s="621"/>
      <c r="H108" s="277" t="s">
        <v>96</v>
      </c>
      <c r="I108" s="76"/>
      <c r="J108" s="74"/>
    </row>
    <row r="109" spans="1:10">
      <c r="A109" s="572" t="s">
        <v>127</v>
      </c>
      <c r="B109" s="573"/>
      <c r="C109" s="573"/>
      <c r="D109" s="573"/>
      <c r="E109" s="573"/>
      <c r="F109" s="573"/>
      <c r="G109" s="574"/>
      <c r="H109" s="78" t="s">
        <v>96</v>
      </c>
      <c r="I109" s="79">
        <f>TRUNC(SUM(I105:I108),2)</f>
        <v>42.48</v>
      </c>
      <c r="J109" s="74"/>
    </row>
    <row r="110" spans="1:10">
      <c r="A110" s="539"/>
      <c r="B110" s="540"/>
      <c r="C110" s="540"/>
      <c r="D110" s="540"/>
      <c r="E110" s="540"/>
      <c r="F110" s="540"/>
      <c r="G110" s="540"/>
      <c r="H110" s="540"/>
      <c r="I110" s="540"/>
      <c r="J110" s="74"/>
    </row>
    <row r="111" spans="1:10">
      <c r="A111" s="523" t="s">
        <v>356</v>
      </c>
      <c r="B111" s="524"/>
      <c r="C111" s="524"/>
      <c r="D111" s="524"/>
      <c r="E111" s="524"/>
      <c r="F111" s="524"/>
      <c r="G111" s="524"/>
      <c r="H111" s="524"/>
      <c r="I111" s="525"/>
      <c r="J111" s="74"/>
    </row>
    <row r="112" spans="1:10">
      <c r="A112" s="586" t="s">
        <v>33</v>
      </c>
      <c r="B112" s="587"/>
      <c r="C112" s="587"/>
      <c r="D112" s="587"/>
      <c r="E112" s="587"/>
      <c r="F112" s="587"/>
      <c r="G112" s="587"/>
      <c r="H112" s="587"/>
      <c r="I112" s="429">
        <f>I31+I68+I79+I101+I109</f>
        <v>3346.1600000000003</v>
      </c>
      <c r="J112" s="74"/>
    </row>
    <row r="113" spans="1:12">
      <c r="A113" s="361"/>
      <c r="B113" s="362"/>
      <c r="C113" s="362"/>
      <c r="D113" s="362"/>
      <c r="E113" s="362"/>
      <c r="F113" s="362"/>
      <c r="G113" s="362"/>
      <c r="H113" s="122"/>
      <c r="I113" s="379"/>
      <c r="J113" s="89"/>
      <c r="L113" s="94"/>
    </row>
    <row r="114" spans="1:12">
      <c r="A114" s="512" t="s">
        <v>128</v>
      </c>
      <c r="B114" s="513"/>
      <c r="C114" s="513"/>
      <c r="D114" s="513"/>
      <c r="E114" s="513"/>
      <c r="F114" s="513"/>
      <c r="G114" s="513"/>
      <c r="H114" s="513"/>
      <c r="I114" s="514"/>
      <c r="J114" s="89"/>
    </row>
    <row r="115" spans="1:12">
      <c r="A115" s="358">
        <v>6</v>
      </c>
      <c r="B115" s="572" t="s">
        <v>129</v>
      </c>
      <c r="C115" s="573"/>
      <c r="D115" s="573"/>
      <c r="E115" s="573"/>
      <c r="F115" s="573"/>
      <c r="G115" s="574"/>
      <c r="H115" s="358" t="s">
        <v>68</v>
      </c>
      <c r="I115" s="358" t="s">
        <v>69</v>
      </c>
      <c r="J115" s="89"/>
    </row>
    <row r="116" spans="1:12">
      <c r="A116" s="358" t="s">
        <v>46</v>
      </c>
      <c r="B116" s="473" t="s">
        <v>130</v>
      </c>
      <c r="C116" s="474"/>
      <c r="D116" s="474"/>
      <c r="E116" s="474"/>
      <c r="F116" s="474"/>
      <c r="G116" s="475"/>
      <c r="H116" s="92">
        <v>6.7500000000000004E-2</v>
      </c>
      <c r="I116" s="76">
        <f>H116*I112</f>
        <v>225.86580000000004</v>
      </c>
      <c r="J116" s="74"/>
    </row>
    <row r="117" spans="1:12">
      <c r="A117" s="69" t="s">
        <v>48</v>
      </c>
      <c r="B117" s="473" t="s">
        <v>131</v>
      </c>
      <c r="C117" s="474"/>
      <c r="D117" s="474"/>
      <c r="E117" s="474"/>
      <c r="F117" s="474"/>
      <c r="G117" s="475"/>
      <c r="H117" s="92">
        <v>7.6499999999999999E-2</v>
      </c>
      <c r="I117" s="76">
        <f>(I112+I116)*H117</f>
        <v>273.25997370000005</v>
      </c>
    </row>
    <row r="118" spans="1:12">
      <c r="A118" s="589" t="s">
        <v>50</v>
      </c>
      <c r="B118" s="602" t="s">
        <v>357</v>
      </c>
      <c r="C118" s="603"/>
      <c r="D118" s="603"/>
      <c r="E118" s="603"/>
      <c r="F118" s="603"/>
      <c r="G118" s="604"/>
      <c r="H118" s="591">
        <f>E120+E121+E126+E122+E124+E127</f>
        <v>0.14250000000000002</v>
      </c>
      <c r="I118" s="599">
        <f>H118*I129</f>
        <v>639.012504667347</v>
      </c>
    </row>
    <row r="119" spans="1:12">
      <c r="A119" s="589"/>
      <c r="B119" s="605" t="s">
        <v>358</v>
      </c>
      <c r="C119" s="606"/>
      <c r="D119" s="606"/>
      <c r="E119" s="606"/>
      <c r="F119" s="606"/>
      <c r="G119" s="607"/>
      <c r="H119" s="591"/>
      <c r="I119" s="600"/>
      <c r="J119" s="95"/>
    </row>
    <row r="120" spans="1:12">
      <c r="A120" s="589"/>
      <c r="B120" s="634" t="s">
        <v>359</v>
      </c>
      <c r="C120" s="635"/>
      <c r="D120" s="636"/>
      <c r="E120" s="380">
        <v>1.6500000000000001E-2</v>
      </c>
      <c r="F120" s="386"/>
      <c r="G120" s="389"/>
      <c r="H120" s="592"/>
      <c r="I120" s="600"/>
    </row>
    <row r="121" spans="1:12">
      <c r="A121" s="589"/>
      <c r="B121" s="637" t="s">
        <v>360</v>
      </c>
      <c r="C121" s="638"/>
      <c r="D121" s="639"/>
      <c r="E121" s="381">
        <v>7.5999999999999998E-2</v>
      </c>
      <c r="F121" s="387"/>
      <c r="G121" s="389"/>
      <c r="H121" s="592"/>
      <c r="I121" s="600"/>
    </row>
    <row r="122" spans="1:12">
      <c r="A122" s="589"/>
      <c r="B122" s="640" t="s">
        <v>361</v>
      </c>
      <c r="C122" s="641"/>
      <c r="D122" s="642"/>
      <c r="E122" s="391"/>
      <c r="F122" s="387"/>
      <c r="G122" s="389"/>
      <c r="H122" s="592"/>
      <c r="I122" s="600"/>
    </row>
    <row r="123" spans="1:12">
      <c r="A123" s="590"/>
      <c r="B123" s="518" t="s">
        <v>362</v>
      </c>
      <c r="C123" s="519"/>
      <c r="D123" s="519"/>
      <c r="E123" s="519"/>
      <c r="F123" s="519"/>
      <c r="G123" s="520"/>
      <c r="H123" s="592"/>
      <c r="I123" s="600"/>
      <c r="K123" s="95"/>
    </row>
    <row r="124" spans="1:12">
      <c r="A124" s="590"/>
      <c r="B124" s="595" t="s">
        <v>363</v>
      </c>
      <c r="C124" s="596"/>
      <c r="D124" s="643"/>
      <c r="E124" s="392"/>
      <c r="F124" s="393"/>
      <c r="G124" s="390"/>
      <c r="H124" s="592"/>
      <c r="I124" s="600"/>
    </row>
    <row r="125" spans="1:12">
      <c r="A125" s="589"/>
      <c r="B125" s="521" t="s">
        <v>364</v>
      </c>
      <c r="C125" s="519"/>
      <c r="D125" s="519"/>
      <c r="E125" s="519"/>
      <c r="F125" s="519"/>
      <c r="G125" s="522"/>
      <c r="H125" s="591"/>
      <c r="I125" s="600"/>
      <c r="K125" s="97"/>
    </row>
    <row r="126" spans="1:12">
      <c r="A126" s="589"/>
      <c r="B126" s="605" t="s">
        <v>365</v>
      </c>
      <c r="C126" s="606"/>
      <c r="D126" s="607"/>
      <c r="E126" s="380">
        <v>0.05</v>
      </c>
      <c r="F126" s="387"/>
      <c r="G126" s="389"/>
      <c r="H126" s="592"/>
      <c r="I126" s="600"/>
    </row>
    <row r="127" spans="1:12">
      <c r="A127" s="589"/>
      <c r="B127" s="646" t="s">
        <v>361</v>
      </c>
      <c r="C127" s="647"/>
      <c r="D127" s="648"/>
      <c r="E127" s="382"/>
      <c r="F127" s="388"/>
      <c r="G127" s="390"/>
      <c r="H127" s="592"/>
      <c r="I127" s="601"/>
    </row>
    <row r="128" spans="1:12">
      <c r="A128" s="652" t="s">
        <v>132</v>
      </c>
      <c r="B128" s="653"/>
      <c r="C128" s="653"/>
      <c r="D128" s="653"/>
      <c r="E128" s="653"/>
      <c r="F128" s="653"/>
      <c r="G128" s="654"/>
      <c r="H128" s="93">
        <f>SUM(H116:H127)</f>
        <v>0.28650000000000003</v>
      </c>
      <c r="I128" s="87">
        <f>SUM(I116:I127)</f>
        <v>1138.1382783673471</v>
      </c>
    </row>
    <row r="129" spans="1:11">
      <c r="A129" s="394"/>
      <c r="B129" s="385"/>
      <c r="C129" s="385"/>
      <c r="D129" s="385"/>
      <c r="E129" s="383"/>
      <c r="F129" s="385"/>
      <c r="G129" s="384"/>
      <c r="H129" s="397">
        <f>1-((14.25)/100)</f>
        <v>0.85750000000000004</v>
      </c>
      <c r="I129" s="396">
        <f>(I112+I116+I117)/H129</f>
        <v>4484.2982783673469</v>
      </c>
      <c r="K129" s="97"/>
    </row>
    <row r="130" spans="1:11">
      <c r="A130" s="360"/>
      <c r="B130" s="360"/>
      <c r="C130" s="360"/>
      <c r="D130" s="360"/>
      <c r="E130" s="360"/>
      <c r="F130" s="360"/>
      <c r="G130" s="360"/>
      <c r="H130" s="360"/>
      <c r="I130" s="96"/>
      <c r="K130" s="97"/>
    </row>
    <row r="131" spans="1:11">
      <c r="A131" s="515" t="s">
        <v>133</v>
      </c>
      <c r="B131" s="516"/>
      <c r="C131" s="516"/>
      <c r="D131" s="516"/>
      <c r="E131" s="516"/>
      <c r="F131" s="516"/>
      <c r="G131" s="516"/>
      <c r="H131" s="516"/>
      <c r="I131" s="517"/>
    </row>
    <row r="132" spans="1:11">
      <c r="A132" s="572" t="s">
        <v>134</v>
      </c>
      <c r="B132" s="573"/>
      <c r="C132" s="573"/>
      <c r="D132" s="573"/>
      <c r="E132" s="573"/>
      <c r="F132" s="573"/>
      <c r="G132" s="573"/>
      <c r="H132" s="574"/>
      <c r="I132" s="358" t="s">
        <v>69</v>
      </c>
      <c r="K132" s="95"/>
    </row>
    <row r="133" spans="1:11">
      <c r="A133" s="357" t="s">
        <v>46</v>
      </c>
      <c r="B133" s="473" t="str">
        <f>A23</f>
        <v>MÓDULO 1 - COMPOSIÇÃO DA REMUNERAÇÃO</v>
      </c>
      <c r="C133" s="474"/>
      <c r="D133" s="474"/>
      <c r="E133" s="474"/>
      <c r="F133" s="474"/>
      <c r="G133" s="474"/>
      <c r="H133" s="475"/>
      <c r="I133" s="76">
        <f>I31</f>
        <v>1700</v>
      </c>
    </row>
    <row r="134" spans="1:11">
      <c r="A134" s="98" t="s">
        <v>48</v>
      </c>
      <c r="B134" s="473" t="str">
        <f>A35</f>
        <v>MÓDULO 2 – ENCARGOS E BENEFÍCIOS ANUAIS, MENSAIS E DIÁRIOS</v>
      </c>
      <c r="C134" s="474"/>
      <c r="D134" s="474"/>
      <c r="E134" s="474"/>
      <c r="F134" s="474"/>
      <c r="G134" s="474"/>
      <c r="H134" s="475"/>
      <c r="I134" s="86">
        <f>I68</f>
        <v>1354.22</v>
      </c>
    </row>
    <row r="135" spans="1:11" ht="12.75" customHeight="1">
      <c r="A135" s="98" t="s">
        <v>50</v>
      </c>
      <c r="B135" s="473" t="str">
        <f>A70</f>
        <v>MÓDULO 3 – PROVISÃO PARA RESCISÃO</v>
      </c>
      <c r="C135" s="474"/>
      <c r="D135" s="474"/>
      <c r="E135" s="474"/>
      <c r="F135" s="474"/>
      <c r="G135" s="474"/>
      <c r="H135" s="475"/>
      <c r="I135" s="86">
        <f>I79</f>
        <v>166.41</v>
      </c>
    </row>
    <row r="136" spans="1:11" ht="13.5" customHeight="1">
      <c r="A136" s="357" t="s">
        <v>52</v>
      </c>
      <c r="B136" s="473" t="str">
        <f>A81</f>
        <v>MÓDULO 4 – CUSTO DE REPOSIÇÃO DO PROFISSIONAL AUSENTE</v>
      </c>
      <c r="C136" s="474"/>
      <c r="D136" s="474"/>
      <c r="E136" s="474"/>
      <c r="F136" s="474"/>
      <c r="G136" s="474"/>
      <c r="H136" s="475"/>
      <c r="I136" s="86">
        <f>I101</f>
        <v>83.05</v>
      </c>
    </row>
    <row r="137" spans="1:11" ht="12.75" customHeight="1">
      <c r="A137" s="98" t="s">
        <v>74</v>
      </c>
      <c r="B137" s="473" t="str">
        <f>A103</f>
        <v>MÓDULO 5 – INSUMOS DIVERSOS</v>
      </c>
      <c r="C137" s="474"/>
      <c r="D137" s="474"/>
      <c r="E137" s="474"/>
      <c r="F137" s="474"/>
      <c r="G137" s="474"/>
      <c r="H137" s="475"/>
      <c r="I137" s="86">
        <f>I109</f>
        <v>42.48</v>
      </c>
    </row>
    <row r="138" spans="1:11" ht="12.75" customHeight="1">
      <c r="A138" s="69"/>
      <c r="B138" s="572" t="s">
        <v>135</v>
      </c>
      <c r="C138" s="573"/>
      <c r="D138" s="573"/>
      <c r="E138" s="573"/>
      <c r="F138" s="573"/>
      <c r="G138" s="573"/>
      <c r="H138" s="574"/>
      <c r="I138" s="87">
        <f>TRUNC(SUM(I133:I137),2)</f>
        <v>3346.16</v>
      </c>
    </row>
    <row r="139" spans="1:11" ht="13.5" customHeight="1">
      <c r="A139" s="357" t="s">
        <v>76</v>
      </c>
      <c r="B139" s="473" t="str">
        <f>A114</f>
        <v>MÓDULO 6 – CUSTOS INDIRETOS, TRIBUTOS E LUCRO</v>
      </c>
      <c r="C139" s="474"/>
      <c r="D139" s="474"/>
      <c r="E139" s="474"/>
      <c r="F139" s="474"/>
      <c r="G139" s="474"/>
      <c r="H139" s="475"/>
      <c r="I139" s="76">
        <f>I128</f>
        <v>1138.1382783673471</v>
      </c>
    </row>
    <row r="140" spans="1:11" ht="17.25" customHeight="1">
      <c r="A140" s="572" t="s">
        <v>136</v>
      </c>
      <c r="B140" s="573"/>
      <c r="C140" s="573"/>
      <c r="D140" s="573"/>
      <c r="E140" s="573"/>
      <c r="F140" s="573"/>
      <c r="G140" s="573"/>
      <c r="H140" s="574"/>
      <c r="I140" s="399">
        <f>TRUNC(SUM(I138:I139),2)</f>
        <v>4484.29</v>
      </c>
    </row>
    <row r="141" spans="1:11" ht="17.25" customHeight="1">
      <c r="A141" s="72"/>
      <c r="B141" s="374"/>
      <c r="C141" s="374"/>
      <c r="D141" s="374"/>
      <c r="E141" s="374"/>
      <c r="F141" s="374"/>
      <c r="G141" s="374"/>
      <c r="H141" s="72"/>
      <c r="I141" s="400"/>
    </row>
    <row r="142" spans="1:11" ht="12.75" customHeight="1">
      <c r="A142" s="72"/>
      <c r="B142" s="72"/>
      <c r="C142" s="72"/>
      <c r="D142" s="72"/>
      <c r="E142" s="72"/>
      <c r="F142" s="72"/>
      <c r="G142" s="72"/>
      <c r="H142" s="72"/>
      <c r="I142" s="398"/>
    </row>
    <row r="143" spans="1:11" ht="12.75" customHeight="1" thickBot="1">
      <c r="A143" s="360"/>
      <c r="B143" s="655" t="s">
        <v>137</v>
      </c>
      <c r="C143" s="655"/>
      <c r="D143" s="655"/>
      <c r="E143" s="655"/>
      <c r="F143" s="655"/>
      <c r="G143" s="655"/>
      <c r="H143" s="72"/>
      <c r="I143" s="72"/>
    </row>
    <row r="144" spans="1:11" ht="24.75" customHeight="1" thickBot="1">
      <c r="A144" s="644" t="s">
        <v>138</v>
      </c>
      <c r="B144" s="645"/>
      <c r="C144" s="644" t="s">
        <v>139</v>
      </c>
      <c r="D144" s="645"/>
      <c r="E144" s="644" t="s">
        <v>140</v>
      </c>
      <c r="F144" s="645"/>
      <c r="G144" s="644" t="s">
        <v>141</v>
      </c>
      <c r="H144" s="645"/>
      <c r="I144" s="430" t="s">
        <v>69</v>
      </c>
    </row>
    <row r="145" spans="1:9" ht="18.75" customHeight="1" thickBot="1">
      <c r="A145" s="656" t="s">
        <v>143</v>
      </c>
      <c r="B145" s="657"/>
      <c r="C145" s="658">
        <f>I140</f>
        <v>4484.29</v>
      </c>
      <c r="D145" s="659"/>
      <c r="E145" s="660">
        <v>1</v>
      </c>
      <c r="F145" s="657"/>
      <c r="G145" s="650">
        <f>C145*E145</f>
        <v>4484.29</v>
      </c>
      <c r="H145" s="651"/>
      <c r="I145" s="104">
        <f>G145</f>
        <v>4484.29</v>
      </c>
    </row>
    <row r="146" spans="1:9" ht="13.5" customHeight="1" thickBot="1">
      <c r="A146" s="583" t="s">
        <v>367</v>
      </c>
      <c r="B146" s="584"/>
      <c r="C146" s="584"/>
      <c r="D146" s="584"/>
      <c r="E146" s="584"/>
      <c r="F146" s="584"/>
      <c r="G146" s="584"/>
      <c r="H146" s="649"/>
      <c r="I146" s="404">
        <f>I145</f>
        <v>4484.29</v>
      </c>
    </row>
    <row r="147" spans="1:9" ht="13.5" customHeight="1"/>
  </sheetData>
  <mergeCells count="145">
    <mergeCell ref="A146:H146"/>
    <mergeCell ref="B136:H136"/>
    <mergeCell ref="B135:H135"/>
    <mergeCell ref="B134:H134"/>
    <mergeCell ref="B133:H133"/>
    <mergeCell ref="B24:G24"/>
    <mergeCell ref="A23:I23"/>
    <mergeCell ref="A22:I22"/>
    <mergeCell ref="B9:H9"/>
    <mergeCell ref="B126:D126"/>
    <mergeCell ref="G144:H144"/>
    <mergeCell ref="G145:H145"/>
    <mergeCell ref="A128:G128"/>
    <mergeCell ref="A131:I131"/>
    <mergeCell ref="A132:H132"/>
    <mergeCell ref="B137:H137"/>
    <mergeCell ref="B138:H138"/>
    <mergeCell ref="B139:H139"/>
    <mergeCell ref="A140:H140"/>
    <mergeCell ref="B143:G143"/>
    <mergeCell ref="A145:B145"/>
    <mergeCell ref="C145:D145"/>
    <mergeCell ref="E145:F145"/>
    <mergeCell ref="A144:B144"/>
    <mergeCell ref="C144:D144"/>
    <mergeCell ref="E144:F144"/>
    <mergeCell ref="B127:D127"/>
    <mergeCell ref="B117:G117"/>
    <mergeCell ref="B118:G118"/>
    <mergeCell ref="A118:A127"/>
    <mergeCell ref="A111:I111"/>
    <mergeCell ref="B115:G115"/>
    <mergeCell ref="B116:G116"/>
    <mergeCell ref="B105:G105"/>
    <mergeCell ref="B106:G106"/>
    <mergeCell ref="B107:G107"/>
    <mergeCell ref="B108:G108"/>
    <mergeCell ref="A109:G109"/>
    <mergeCell ref="A110:I110"/>
    <mergeCell ref="A112:H112"/>
    <mergeCell ref="A114:I114"/>
    <mergeCell ref="H118:H127"/>
    <mergeCell ref="I118:I127"/>
    <mergeCell ref="B119:G119"/>
    <mergeCell ref="B120:D120"/>
    <mergeCell ref="B121:D121"/>
    <mergeCell ref="B122:D122"/>
    <mergeCell ref="B123:G123"/>
    <mergeCell ref="B124:D124"/>
    <mergeCell ref="B125:G125"/>
    <mergeCell ref="B99:H99"/>
    <mergeCell ref="B100:H100"/>
    <mergeCell ref="A101:H101"/>
    <mergeCell ref="A102:I102"/>
    <mergeCell ref="A103:I103"/>
    <mergeCell ref="B104:G104"/>
    <mergeCell ref="A93:G93"/>
    <mergeCell ref="B94:G94"/>
    <mergeCell ref="A95:G95"/>
    <mergeCell ref="A96:I96"/>
    <mergeCell ref="A97:I97"/>
    <mergeCell ref="A98:H98"/>
    <mergeCell ref="B88:G88"/>
    <mergeCell ref="B89:G89"/>
    <mergeCell ref="B90:G90"/>
    <mergeCell ref="A92:I92"/>
    <mergeCell ref="A91:I91"/>
    <mergeCell ref="A82:H82"/>
    <mergeCell ref="A83:G83"/>
    <mergeCell ref="B84:G84"/>
    <mergeCell ref="B85:G85"/>
    <mergeCell ref="B86:G86"/>
    <mergeCell ref="B87:G87"/>
    <mergeCell ref="B77:G77"/>
    <mergeCell ref="B78:G78"/>
    <mergeCell ref="A79:G79"/>
    <mergeCell ref="A80:I80"/>
    <mergeCell ref="A81:I81"/>
    <mergeCell ref="B72:G72"/>
    <mergeCell ref="B73:G73"/>
    <mergeCell ref="B74:G74"/>
    <mergeCell ref="B75:G75"/>
    <mergeCell ref="B76:G76"/>
    <mergeCell ref="A64:H64"/>
    <mergeCell ref="B65:H65"/>
    <mergeCell ref="B66:H66"/>
    <mergeCell ref="B67:H67"/>
    <mergeCell ref="A68:H68"/>
    <mergeCell ref="A70:I70"/>
    <mergeCell ref="A71:H71"/>
    <mergeCell ref="B57:G57"/>
    <mergeCell ref="B58:G58"/>
    <mergeCell ref="B59:G59"/>
    <mergeCell ref="A60:H60"/>
    <mergeCell ref="A61:I61"/>
    <mergeCell ref="A63:I63"/>
    <mergeCell ref="B50:G50"/>
    <mergeCell ref="B51:G51"/>
    <mergeCell ref="A52:G52"/>
    <mergeCell ref="A54:I54"/>
    <mergeCell ref="A55:G55"/>
    <mergeCell ref="B56:G56"/>
    <mergeCell ref="A53:I53"/>
    <mergeCell ref="B44:G44"/>
    <mergeCell ref="B45:G45"/>
    <mergeCell ref="B46:G46"/>
    <mergeCell ref="B47:G47"/>
    <mergeCell ref="B48:G48"/>
    <mergeCell ref="B49:G49"/>
    <mergeCell ref="B38:G38"/>
    <mergeCell ref="A39:G39"/>
    <mergeCell ref="A43:G43"/>
    <mergeCell ref="A40:I40"/>
    <mergeCell ref="A42:H42"/>
    <mergeCell ref="B28:G28"/>
    <mergeCell ref="B29:G29"/>
    <mergeCell ref="B30:G30"/>
    <mergeCell ref="A31:H31"/>
    <mergeCell ref="A35:I35"/>
    <mergeCell ref="B25:G25"/>
    <mergeCell ref="B26:G26"/>
    <mergeCell ref="B27:G27"/>
    <mergeCell ref="A32:I32"/>
    <mergeCell ref="B19:H19"/>
    <mergeCell ref="B20:H20"/>
    <mergeCell ref="B21:H21"/>
    <mergeCell ref="A36:G36"/>
    <mergeCell ref="B37:G37"/>
    <mergeCell ref="A1:I1"/>
    <mergeCell ref="A16:I16"/>
    <mergeCell ref="B17:H17"/>
    <mergeCell ref="B18:H18"/>
    <mergeCell ref="B10:H10"/>
    <mergeCell ref="A12:I12"/>
    <mergeCell ref="A13:B13"/>
    <mergeCell ref="C13:D13"/>
    <mergeCell ref="E13:I13"/>
    <mergeCell ref="A14:B14"/>
    <mergeCell ref="C14:D14"/>
    <mergeCell ref="E14:I14"/>
    <mergeCell ref="B8:H8"/>
    <mergeCell ref="B7:H7"/>
    <mergeCell ref="A6:I6"/>
    <mergeCell ref="A4:G4"/>
    <mergeCell ref="A5:G5"/>
  </mergeCells>
  <pageMargins left="0.78740157480314965" right="0.19685039370078741" top="1.9685039370078741" bottom="0.31496062992125984" header="0.15748031496062992" footer="0.15748031496062992"/>
  <pageSetup paperSize="9" scale="75" firstPageNumber="0" orientation="portrait" horizontalDpi="300" verticalDpi="300" r:id="rId1"/>
  <headerFooter>
    <oddHeader>&amp;L&amp;G</oddHeader>
    <oddFooter>&amp;L&amp;D&amp;C&amp;Z&amp;F&amp;RPágina 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Q54"/>
  <sheetViews>
    <sheetView showGridLines="0" zoomScaleNormal="100" workbookViewId="0">
      <selection activeCell="K16" sqref="K16"/>
    </sheetView>
  </sheetViews>
  <sheetFormatPr defaultRowHeight="12"/>
  <cols>
    <col min="1" max="1" width="5.7109375" style="2" customWidth="1"/>
    <col min="2" max="2" width="25.7109375" style="2" customWidth="1"/>
    <col min="3" max="3" width="13.140625" style="1" customWidth="1"/>
    <col min="4" max="4" width="13.42578125" style="1" customWidth="1"/>
    <col min="5" max="9" width="15.7109375" style="1" customWidth="1"/>
    <col min="10" max="10" width="14.7109375" style="2" customWidth="1"/>
    <col min="11" max="11" width="13.85546875" style="2" customWidth="1"/>
    <col min="12" max="12" width="14.28515625" style="2" bestFit="1" customWidth="1"/>
    <col min="13" max="13" width="15.85546875" style="2" bestFit="1" customWidth="1"/>
    <col min="14" max="14" width="13.5703125" style="2" customWidth="1"/>
    <col min="15" max="15" width="23.140625" style="2" customWidth="1"/>
    <col min="16" max="16" width="10.7109375" style="2" bestFit="1" customWidth="1"/>
    <col min="17" max="256" width="9.140625" style="2"/>
    <col min="257" max="257" width="5.7109375" style="2" customWidth="1"/>
    <col min="258" max="258" width="20.7109375" style="2" customWidth="1"/>
    <col min="259" max="265" width="15.7109375" style="2" customWidth="1"/>
    <col min="266" max="266" width="5.7109375" style="2" customWidth="1"/>
    <col min="267" max="512" width="9.140625" style="2"/>
    <col min="513" max="513" width="5.7109375" style="2" customWidth="1"/>
    <col min="514" max="514" width="20.7109375" style="2" customWidth="1"/>
    <col min="515" max="521" width="15.7109375" style="2" customWidth="1"/>
    <col min="522" max="522" width="5.7109375" style="2" customWidth="1"/>
    <col min="523" max="768" width="9.140625" style="2"/>
    <col min="769" max="769" width="5.7109375" style="2" customWidth="1"/>
    <col min="770" max="770" width="20.7109375" style="2" customWidth="1"/>
    <col min="771" max="777" width="15.7109375" style="2" customWidth="1"/>
    <col min="778" max="778" width="5.7109375" style="2" customWidth="1"/>
    <col min="779" max="1024" width="9.140625" style="2"/>
    <col min="1025" max="1025" width="5.7109375" style="2" customWidth="1"/>
    <col min="1026" max="1026" width="20.7109375" style="2" customWidth="1"/>
    <col min="1027" max="1033" width="15.7109375" style="2" customWidth="1"/>
    <col min="1034" max="1034" width="5.7109375" style="2" customWidth="1"/>
    <col min="1035" max="1280" width="9.140625" style="2"/>
    <col min="1281" max="1281" width="5.7109375" style="2" customWidth="1"/>
    <col min="1282" max="1282" width="20.7109375" style="2" customWidth="1"/>
    <col min="1283" max="1289" width="15.7109375" style="2" customWidth="1"/>
    <col min="1290" max="1290" width="5.7109375" style="2" customWidth="1"/>
    <col min="1291" max="1536" width="9.140625" style="2"/>
    <col min="1537" max="1537" width="5.7109375" style="2" customWidth="1"/>
    <col min="1538" max="1538" width="20.7109375" style="2" customWidth="1"/>
    <col min="1539" max="1545" width="15.7109375" style="2" customWidth="1"/>
    <col min="1546" max="1546" width="5.7109375" style="2" customWidth="1"/>
    <col min="1547" max="1792" width="9.140625" style="2"/>
    <col min="1793" max="1793" width="5.7109375" style="2" customWidth="1"/>
    <col min="1794" max="1794" width="20.7109375" style="2" customWidth="1"/>
    <col min="1795" max="1801" width="15.7109375" style="2" customWidth="1"/>
    <col min="1802" max="1802" width="5.7109375" style="2" customWidth="1"/>
    <col min="1803" max="2048" width="9.140625" style="2"/>
    <col min="2049" max="2049" width="5.7109375" style="2" customWidth="1"/>
    <col min="2050" max="2050" width="20.7109375" style="2" customWidth="1"/>
    <col min="2051" max="2057" width="15.7109375" style="2" customWidth="1"/>
    <col min="2058" max="2058" width="5.7109375" style="2" customWidth="1"/>
    <col min="2059" max="2304" width="9.140625" style="2"/>
    <col min="2305" max="2305" width="5.7109375" style="2" customWidth="1"/>
    <col min="2306" max="2306" width="20.7109375" style="2" customWidth="1"/>
    <col min="2307" max="2313" width="15.7109375" style="2" customWidth="1"/>
    <col min="2314" max="2314" width="5.7109375" style="2" customWidth="1"/>
    <col min="2315" max="2560" width="9.140625" style="2"/>
    <col min="2561" max="2561" width="5.7109375" style="2" customWidth="1"/>
    <col min="2562" max="2562" width="20.7109375" style="2" customWidth="1"/>
    <col min="2563" max="2569" width="15.7109375" style="2" customWidth="1"/>
    <col min="2570" max="2570" width="5.7109375" style="2" customWidth="1"/>
    <col min="2571" max="2816" width="9.140625" style="2"/>
    <col min="2817" max="2817" width="5.7109375" style="2" customWidth="1"/>
    <col min="2818" max="2818" width="20.7109375" style="2" customWidth="1"/>
    <col min="2819" max="2825" width="15.7109375" style="2" customWidth="1"/>
    <col min="2826" max="2826" width="5.7109375" style="2" customWidth="1"/>
    <col min="2827" max="3072" width="9.140625" style="2"/>
    <col min="3073" max="3073" width="5.7109375" style="2" customWidth="1"/>
    <col min="3074" max="3074" width="20.7109375" style="2" customWidth="1"/>
    <col min="3075" max="3081" width="15.7109375" style="2" customWidth="1"/>
    <col min="3082" max="3082" width="5.7109375" style="2" customWidth="1"/>
    <col min="3083" max="3328" width="9.140625" style="2"/>
    <col min="3329" max="3329" width="5.7109375" style="2" customWidth="1"/>
    <col min="3330" max="3330" width="20.7109375" style="2" customWidth="1"/>
    <col min="3331" max="3337" width="15.7109375" style="2" customWidth="1"/>
    <col min="3338" max="3338" width="5.7109375" style="2" customWidth="1"/>
    <col min="3339" max="3584" width="9.140625" style="2"/>
    <col min="3585" max="3585" width="5.7109375" style="2" customWidth="1"/>
    <col min="3586" max="3586" width="20.7109375" style="2" customWidth="1"/>
    <col min="3587" max="3593" width="15.7109375" style="2" customWidth="1"/>
    <col min="3594" max="3594" width="5.7109375" style="2" customWidth="1"/>
    <col min="3595" max="3840" width="9.140625" style="2"/>
    <col min="3841" max="3841" width="5.7109375" style="2" customWidth="1"/>
    <col min="3842" max="3842" width="20.7109375" style="2" customWidth="1"/>
    <col min="3843" max="3849" width="15.7109375" style="2" customWidth="1"/>
    <col min="3850" max="3850" width="5.7109375" style="2" customWidth="1"/>
    <col min="3851" max="4096" width="9.140625" style="2"/>
    <col min="4097" max="4097" width="5.7109375" style="2" customWidth="1"/>
    <col min="4098" max="4098" width="20.7109375" style="2" customWidth="1"/>
    <col min="4099" max="4105" width="15.7109375" style="2" customWidth="1"/>
    <col min="4106" max="4106" width="5.7109375" style="2" customWidth="1"/>
    <col min="4107" max="4352" width="9.140625" style="2"/>
    <col min="4353" max="4353" width="5.7109375" style="2" customWidth="1"/>
    <col min="4354" max="4354" width="20.7109375" style="2" customWidth="1"/>
    <col min="4355" max="4361" width="15.7109375" style="2" customWidth="1"/>
    <col min="4362" max="4362" width="5.7109375" style="2" customWidth="1"/>
    <col min="4363" max="4608" width="9.140625" style="2"/>
    <col min="4609" max="4609" width="5.7109375" style="2" customWidth="1"/>
    <col min="4610" max="4610" width="20.7109375" style="2" customWidth="1"/>
    <col min="4611" max="4617" width="15.7109375" style="2" customWidth="1"/>
    <col min="4618" max="4618" width="5.7109375" style="2" customWidth="1"/>
    <col min="4619" max="4864" width="9.140625" style="2"/>
    <col min="4865" max="4865" width="5.7109375" style="2" customWidth="1"/>
    <col min="4866" max="4866" width="20.7109375" style="2" customWidth="1"/>
    <col min="4867" max="4873" width="15.7109375" style="2" customWidth="1"/>
    <col min="4874" max="4874" width="5.7109375" style="2" customWidth="1"/>
    <col min="4875" max="5120" width="9.140625" style="2"/>
    <col min="5121" max="5121" width="5.7109375" style="2" customWidth="1"/>
    <col min="5122" max="5122" width="20.7109375" style="2" customWidth="1"/>
    <col min="5123" max="5129" width="15.7109375" style="2" customWidth="1"/>
    <col min="5130" max="5130" width="5.7109375" style="2" customWidth="1"/>
    <col min="5131" max="5376" width="9.140625" style="2"/>
    <col min="5377" max="5377" width="5.7109375" style="2" customWidth="1"/>
    <col min="5378" max="5378" width="20.7109375" style="2" customWidth="1"/>
    <col min="5379" max="5385" width="15.7109375" style="2" customWidth="1"/>
    <col min="5386" max="5386" width="5.7109375" style="2" customWidth="1"/>
    <col min="5387" max="5632" width="9.140625" style="2"/>
    <col min="5633" max="5633" width="5.7109375" style="2" customWidth="1"/>
    <col min="5634" max="5634" width="20.7109375" style="2" customWidth="1"/>
    <col min="5635" max="5641" width="15.7109375" style="2" customWidth="1"/>
    <col min="5642" max="5642" width="5.7109375" style="2" customWidth="1"/>
    <col min="5643" max="5888" width="9.140625" style="2"/>
    <col min="5889" max="5889" width="5.7109375" style="2" customWidth="1"/>
    <col min="5890" max="5890" width="20.7109375" style="2" customWidth="1"/>
    <col min="5891" max="5897" width="15.7109375" style="2" customWidth="1"/>
    <col min="5898" max="5898" width="5.7109375" style="2" customWidth="1"/>
    <col min="5899" max="6144" width="9.140625" style="2"/>
    <col min="6145" max="6145" width="5.7109375" style="2" customWidth="1"/>
    <col min="6146" max="6146" width="20.7109375" style="2" customWidth="1"/>
    <col min="6147" max="6153" width="15.7109375" style="2" customWidth="1"/>
    <col min="6154" max="6154" width="5.7109375" style="2" customWidth="1"/>
    <col min="6155" max="6400" width="9.140625" style="2"/>
    <col min="6401" max="6401" width="5.7109375" style="2" customWidth="1"/>
    <col min="6402" max="6402" width="20.7109375" style="2" customWidth="1"/>
    <col min="6403" max="6409" width="15.7109375" style="2" customWidth="1"/>
    <col min="6410" max="6410" width="5.7109375" style="2" customWidth="1"/>
    <col min="6411" max="6656" width="9.140625" style="2"/>
    <col min="6657" max="6657" width="5.7109375" style="2" customWidth="1"/>
    <col min="6658" max="6658" width="20.7109375" style="2" customWidth="1"/>
    <col min="6659" max="6665" width="15.7109375" style="2" customWidth="1"/>
    <col min="6666" max="6666" width="5.7109375" style="2" customWidth="1"/>
    <col min="6667" max="6912" width="9.140625" style="2"/>
    <col min="6913" max="6913" width="5.7109375" style="2" customWidth="1"/>
    <col min="6914" max="6914" width="20.7109375" style="2" customWidth="1"/>
    <col min="6915" max="6921" width="15.7109375" style="2" customWidth="1"/>
    <col min="6922" max="6922" width="5.7109375" style="2" customWidth="1"/>
    <col min="6923" max="7168" width="9.140625" style="2"/>
    <col min="7169" max="7169" width="5.7109375" style="2" customWidth="1"/>
    <col min="7170" max="7170" width="20.7109375" style="2" customWidth="1"/>
    <col min="7171" max="7177" width="15.7109375" style="2" customWidth="1"/>
    <col min="7178" max="7178" width="5.7109375" style="2" customWidth="1"/>
    <col min="7179" max="7424" width="9.140625" style="2"/>
    <col min="7425" max="7425" width="5.7109375" style="2" customWidth="1"/>
    <col min="7426" max="7426" width="20.7109375" style="2" customWidth="1"/>
    <col min="7427" max="7433" width="15.7109375" style="2" customWidth="1"/>
    <col min="7434" max="7434" width="5.7109375" style="2" customWidth="1"/>
    <col min="7435" max="7680" width="9.140625" style="2"/>
    <col min="7681" max="7681" width="5.7109375" style="2" customWidth="1"/>
    <col min="7682" max="7682" width="20.7109375" style="2" customWidth="1"/>
    <col min="7683" max="7689" width="15.7109375" style="2" customWidth="1"/>
    <col min="7690" max="7690" width="5.7109375" style="2" customWidth="1"/>
    <col min="7691" max="7936" width="9.140625" style="2"/>
    <col min="7937" max="7937" width="5.7109375" style="2" customWidth="1"/>
    <col min="7938" max="7938" width="20.7109375" style="2" customWidth="1"/>
    <col min="7939" max="7945" width="15.7109375" style="2" customWidth="1"/>
    <col min="7946" max="7946" width="5.7109375" style="2" customWidth="1"/>
    <col min="7947" max="8192" width="9.140625" style="2"/>
    <col min="8193" max="8193" width="5.7109375" style="2" customWidth="1"/>
    <col min="8194" max="8194" width="20.7109375" style="2" customWidth="1"/>
    <col min="8195" max="8201" width="15.7109375" style="2" customWidth="1"/>
    <col min="8202" max="8202" width="5.7109375" style="2" customWidth="1"/>
    <col min="8203" max="8448" width="9.140625" style="2"/>
    <col min="8449" max="8449" width="5.7109375" style="2" customWidth="1"/>
    <col min="8450" max="8450" width="20.7109375" style="2" customWidth="1"/>
    <col min="8451" max="8457" width="15.7109375" style="2" customWidth="1"/>
    <col min="8458" max="8458" width="5.7109375" style="2" customWidth="1"/>
    <col min="8459" max="8704" width="9.140625" style="2"/>
    <col min="8705" max="8705" width="5.7109375" style="2" customWidth="1"/>
    <col min="8706" max="8706" width="20.7109375" style="2" customWidth="1"/>
    <col min="8707" max="8713" width="15.7109375" style="2" customWidth="1"/>
    <col min="8714" max="8714" width="5.7109375" style="2" customWidth="1"/>
    <col min="8715" max="8960" width="9.140625" style="2"/>
    <col min="8961" max="8961" width="5.7109375" style="2" customWidth="1"/>
    <col min="8962" max="8962" width="20.7109375" style="2" customWidth="1"/>
    <col min="8963" max="8969" width="15.7109375" style="2" customWidth="1"/>
    <col min="8970" max="8970" width="5.7109375" style="2" customWidth="1"/>
    <col min="8971" max="9216" width="9.140625" style="2"/>
    <col min="9217" max="9217" width="5.7109375" style="2" customWidth="1"/>
    <col min="9218" max="9218" width="20.7109375" style="2" customWidth="1"/>
    <col min="9219" max="9225" width="15.7109375" style="2" customWidth="1"/>
    <col min="9226" max="9226" width="5.7109375" style="2" customWidth="1"/>
    <col min="9227" max="9472" width="9.140625" style="2"/>
    <col min="9473" max="9473" width="5.7109375" style="2" customWidth="1"/>
    <col min="9474" max="9474" width="20.7109375" style="2" customWidth="1"/>
    <col min="9475" max="9481" width="15.7109375" style="2" customWidth="1"/>
    <col min="9482" max="9482" width="5.7109375" style="2" customWidth="1"/>
    <col min="9483" max="9728" width="9.140625" style="2"/>
    <col min="9729" max="9729" width="5.7109375" style="2" customWidth="1"/>
    <col min="9730" max="9730" width="20.7109375" style="2" customWidth="1"/>
    <col min="9731" max="9737" width="15.7109375" style="2" customWidth="1"/>
    <col min="9738" max="9738" width="5.7109375" style="2" customWidth="1"/>
    <col min="9739" max="9984" width="9.140625" style="2"/>
    <col min="9985" max="9985" width="5.7109375" style="2" customWidth="1"/>
    <col min="9986" max="9986" width="20.7109375" style="2" customWidth="1"/>
    <col min="9987" max="9993" width="15.7109375" style="2" customWidth="1"/>
    <col min="9994" max="9994" width="5.7109375" style="2" customWidth="1"/>
    <col min="9995" max="10240" width="9.140625" style="2"/>
    <col min="10241" max="10241" width="5.7109375" style="2" customWidth="1"/>
    <col min="10242" max="10242" width="20.7109375" style="2" customWidth="1"/>
    <col min="10243" max="10249" width="15.7109375" style="2" customWidth="1"/>
    <col min="10250" max="10250" width="5.7109375" style="2" customWidth="1"/>
    <col min="10251" max="10496" width="9.140625" style="2"/>
    <col min="10497" max="10497" width="5.7109375" style="2" customWidth="1"/>
    <col min="10498" max="10498" width="20.7109375" style="2" customWidth="1"/>
    <col min="10499" max="10505" width="15.7109375" style="2" customWidth="1"/>
    <col min="10506" max="10506" width="5.7109375" style="2" customWidth="1"/>
    <col min="10507" max="10752" width="9.140625" style="2"/>
    <col min="10753" max="10753" width="5.7109375" style="2" customWidth="1"/>
    <col min="10754" max="10754" width="20.7109375" style="2" customWidth="1"/>
    <col min="10755" max="10761" width="15.7109375" style="2" customWidth="1"/>
    <col min="10762" max="10762" width="5.7109375" style="2" customWidth="1"/>
    <col min="10763" max="11008" width="9.140625" style="2"/>
    <col min="11009" max="11009" width="5.7109375" style="2" customWidth="1"/>
    <col min="11010" max="11010" width="20.7109375" style="2" customWidth="1"/>
    <col min="11011" max="11017" width="15.7109375" style="2" customWidth="1"/>
    <col min="11018" max="11018" width="5.7109375" style="2" customWidth="1"/>
    <col min="11019" max="11264" width="9.140625" style="2"/>
    <col min="11265" max="11265" width="5.7109375" style="2" customWidth="1"/>
    <col min="11266" max="11266" width="20.7109375" style="2" customWidth="1"/>
    <col min="11267" max="11273" width="15.7109375" style="2" customWidth="1"/>
    <col min="11274" max="11274" width="5.7109375" style="2" customWidth="1"/>
    <col min="11275" max="11520" width="9.140625" style="2"/>
    <col min="11521" max="11521" width="5.7109375" style="2" customWidth="1"/>
    <col min="11522" max="11522" width="20.7109375" style="2" customWidth="1"/>
    <col min="11523" max="11529" width="15.7109375" style="2" customWidth="1"/>
    <col min="11530" max="11530" width="5.7109375" style="2" customWidth="1"/>
    <col min="11531" max="11776" width="9.140625" style="2"/>
    <col min="11777" max="11777" width="5.7109375" style="2" customWidth="1"/>
    <col min="11778" max="11778" width="20.7109375" style="2" customWidth="1"/>
    <col min="11779" max="11785" width="15.7109375" style="2" customWidth="1"/>
    <col min="11786" max="11786" width="5.7109375" style="2" customWidth="1"/>
    <col min="11787" max="12032" width="9.140625" style="2"/>
    <col min="12033" max="12033" width="5.7109375" style="2" customWidth="1"/>
    <col min="12034" max="12034" width="20.7109375" style="2" customWidth="1"/>
    <col min="12035" max="12041" width="15.7109375" style="2" customWidth="1"/>
    <col min="12042" max="12042" width="5.7109375" style="2" customWidth="1"/>
    <col min="12043" max="12288" width="9.140625" style="2"/>
    <col min="12289" max="12289" width="5.7109375" style="2" customWidth="1"/>
    <col min="12290" max="12290" width="20.7109375" style="2" customWidth="1"/>
    <col min="12291" max="12297" width="15.7109375" style="2" customWidth="1"/>
    <col min="12298" max="12298" width="5.7109375" style="2" customWidth="1"/>
    <col min="12299" max="12544" width="9.140625" style="2"/>
    <col min="12545" max="12545" width="5.7109375" style="2" customWidth="1"/>
    <col min="12546" max="12546" width="20.7109375" style="2" customWidth="1"/>
    <col min="12547" max="12553" width="15.7109375" style="2" customWidth="1"/>
    <col min="12554" max="12554" width="5.7109375" style="2" customWidth="1"/>
    <col min="12555" max="12800" width="9.140625" style="2"/>
    <col min="12801" max="12801" width="5.7109375" style="2" customWidth="1"/>
    <col min="12802" max="12802" width="20.7109375" style="2" customWidth="1"/>
    <col min="12803" max="12809" width="15.7109375" style="2" customWidth="1"/>
    <col min="12810" max="12810" width="5.7109375" style="2" customWidth="1"/>
    <col min="12811" max="13056" width="9.140625" style="2"/>
    <col min="13057" max="13057" width="5.7109375" style="2" customWidth="1"/>
    <col min="13058" max="13058" width="20.7109375" style="2" customWidth="1"/>
    <col min="13059" max="13065" width="15.7109375" style="2" customWidth="1"/>
    <col min="13066" max="13066" width="5.7109375" style="2" customWidth="1"/>
    <col min="13067" max="13312" width="9.140625" style="2"/>
    <col min="13313" max="13313" width="5.7109375" style="2" customWidth="1"/>
    <col min="13314" max="13314" width="20.7109375" style="2" customWidth="1"/>
    <col min="13315" max="13321" width="15.7109375" style="2" customWidth="1"/>
    <col min="13322" max="13322" width="5.7109375" style="2" customWidth="1"/>
    <col min="13323" max="13568" width="9.140625" style="2"/>
    <col min="13569" max="13569" width="5.7109375" style="2" customWidth="1"/>
    <col min="13570" max="13570" width="20.7109375" style="2" customWidth="1"/>
    <col min="13571" max="13577" width="15.7109375" style="2" customWidth="1"/>
    <col min="13578" max="13578" width="5.7109375" style="2" customWidth="1"/>
    <col min="13579" max="13824" width="9.140625" style="2"/>
    <col min="13825" max="13825" width="5.7109375" style="2" customWidth="1"/>
    <col min="13826" max="13826" width="20.7109375" style="2" customWidth="1"/>
    <col min="13827" max="13833" width="15.7109375" style="2" customWidth="1"/>
    <col min="13834" max="13834" width="5.7109375" style="2" customWidth="1"/>
    <col min="13835" max="14080" width="9.140625" style="2"/>
    <col min="14081" max="14081" width="5.7109375" style="2" customWidth="1"/>
    <col min="14082" max="14082" width="20.7109375" style="2" customWidth="1"/>
    <col min="14083" max="14089" width="15.7109375" style="2" customWidth="1"/>
    <col min="14090" max="14090" width="5.7109375" style="2" customWidth="1"/>
    <col min="14091" max="14336" width="9.140625" style="2"/>
    <col min="14337" max="14337" width="5.7109375" style="2" customWidth="1"/>
    <col min="14338" max="14338" width="20.7109375" style="2" customWidth="1"/>
    <col min="14339" max="14345" width="15.7109375" style="2" customWidth="1"/>
    <col min="14346" max="14346" width="5.7109375" style="2" customWidth="1"/>
    <col min="14347" max="14592" width="9.140625" style="2"/>
    <col min="14593" max="14593" width="5.7109375" style="2" customWidth="1"/>
    <col min="14594" max="14594" width="20.7109375" style="2" customWidth="1"/>
    <col min="14595" max="14601" width="15.7109375" style="2" customWidth="1"/>
    <col min="14602" max="14602" width="5.7109375" style="2" customWidth="1"/>
    <col min="14603" max="14848" width="9.140625" style="2"/>
    <col min="14849" max="14849" width="5.7109375" style="2" customWidth="1"/>
    <col min="14850" max="14850" width="20.7109375" style="2" customWidth="1"/>
    <col min="14851" max="14857" width="15.7109375" style="2" customWidth="1"/>
    <col min="14858" max="14858" width="5.7109375" style="2" customWidth="1"/>
    <col min="14859" max="15104" width="9.140625" style="2"/>
    <col min="15105" max="15105" width="5.7109375" style="2" customWidth="1"/>
    <col min="15106" max="15106" width="20.7109375" style="2" customWidth="1"/>
    <col min="15107" max="15113" width="15.7109375" style="2" customWidth="1"/>
    <col min="15114" max="15114" width="5.7109375" style="2" customWidth="1"/>
    <col min="15115" max="15360" width="9.140625" style="2"/>
    <col min="15361" max="15361" width="5.7109375" style="2" customWidth="1"/>
    <col min="15362" max="15362" width="20.7109375" style="2" customWidth="1"/>
    <col min="15363" max="15369" width="15.7109375" style="2" customWidth="1"/>
    <col min="15370" max="15370" width="5.7109375" style="2" customWidth="1"/>
    <col min="15371" max="15616" width="9.140625" style="2"/>
    <col min="15617" max="15617" width="5.7109375" style="2" customWidth="1"/>
    <col min="15618" max="15618" width="20.7109375" style="2" customWidth="1"/>
    <col min="15619" max="15625" width="15.7109375" style="2" customWidth="1"/>
    <col min="15626" max="15626" width="5.7109375" style="2" customWidth="1"/>
    <col min="15627" max="15872" width="9.140625" style="2"/>
    <col min="15873" max="15873" width="5.7109375" style="2" customWidth="1"/>
    <col min="15874" max="15874" width="20.7109375" style="2" customWidth="1"/>
    <col min="15875" max="15881" width="15.7109375" style="2" customWidth="1"/>
    <col min="15882" max="15882" width="5.7109375" style="2" customWidth="1"/>
    <col min="15883" max="16128" width="9.140625" style="2"/>
    <col min="16129" max="16129" width="5.7109375" style="2" customWidth="1"/>
    <col min="16130" max="16130" width="20.7109375" style="2" customWidth="1"/>
    <col min="16131" max="16137" width="15.7109375" style="2" customWidth="1"/>
    <col min="16138" max="16138" width="5.7109375" style="2" customWidth="1"/>
    <col min="16139" max="16384" width="9.140625" style="2"/>
  </cols>
  <sheetData>
    <row r="1" spans="1:17" ht="12" customHeight="1">
      <c r="A1" s="697" t="s">
        <v>370</v>
      </c>
      <c r="B1" s="697"/>
      <c r="C1" s="697"/>
      <c r="D1" s="697"/>
      <c r="E1" s="697"/>
      <c r="F1" s="697"/>
      <c r="G1" s="697"/>
      <c r="H1" s="697"/>
      <c r="I1" s="697"/>
      <c r="J1" s="173"/>
    </row>
    <row r="2" spans="1:17" ht="12" customHeight="1">
      <c r="A2" s="173"/>
      <c r="B2" s="173" t="s">
        <v>318</v>
      </c>
      <c r="C2" s="173"/>
      <c r="D2" s="173"/>
      <c r="E2" s="173"/>
      <c r="F2" s="173"/>
      <c r="G2" s="173"/>
      <c r="H2" s="173"/>
      <c r="I2" s="173"/>
      <c r="J2" s="173"/>
    </row>
    <row r="3" spans="1:17" ht="12" customHeight="1">
      <c r="A3" s="173"/>
      <c r="B3" s="698" t="s">
        <v>371</v>
      </c>
      <c r="C3" s="698"/>
      <c r="D3" s="173"/>
      <c r="E3" s="173"/>
      <c r="F3" s="173"/>
      <c r="G3" s="173"/>
      <c r="H3" s="173"/>
      <c r="I3" s="173"/>
      <c r="J3" s="173"/>
    </row>
    <row r="4" spans="1:17">
      <c r="B4" s="425" t="s">
        <v>5</v>
      </c>
      <c r="C4" s="426"/>
      <c r="D4" s="426"/>
      <c r="E4" s="426"/>
      <c r="F4" s="426"/>
      <c r="G4" s="426"/>
      <c r="H4" s="426"/>
      <c r="I4" s="733"/>
      <c r="J4" s="316"/>
      <c r="K4" s="316"/>
      <c r="L4" s="316"/>
    </row>
    <row r="5" spans="1:17">
      <c r="B5" s="682" t="s">
        <v>6</v>
      </c>
      <c r="C5" s="683"/>
      <c r="D5" s="683"/>
      <c r="E5" s="683"/>
      <c r="F5" s="683"/>
      <c r="G5" s="683"/>
      <c r="H5" s="684"/>
      <c r="I5" s="734"/>
      <c r="J5" s="316"/>
      <c r="K5" s="316"/>
      <c r="L5" s="316"/>
    </row>
    <row r="6" spans="1:17" s="3" customFormat="1" ht="36" customHeight="1" thickBot="1">
      <c r="B6" s="322" t="s">
        <v>7</v>
      </c>
      <c r="C6" s="6" t="s">
        <v>8</v>
      </c>
      <c r="D6" s="6" t="s">
        <v>9</v>
      </c>
      <c r="E6" s="6" t="s">
        <v>10</v>
      </c>
      <c r="F6" s="323" t="s">
        <v>11</v>
      </c>
      <c r="G6" s="324" t="s">
        <v>172</v>
      </c>
      <c r="H6" s="324" t="s">
        <v>173</v>
      </c>
      <c r="I6" s="735"/>
      <c r="J6" s="736"/>
      <c r="K6" s="736"/>
      <c r="L6" s="736"/>
      <c r="M6" s="737"/>
      <c r="N6" s="737"/>
      <c r="O6" s="737"/>
      <c r="P6" s="737"/>
      <c r="Q6" s="737"/>
    </row>
    <row r="7" spans="1:17" s="3" customFormat="1" ht="21.75" customHeight="1">
      <c r="B7" s="326" t="s">
        <v>326</v>
      </c>
      <c r="C7" s="327">
        <v>1100</v>
      </c>
      <c r="D7" s="328">
        <f>1/C7</f>
        <v>9.0909090909090909E-4</v>
      </c>
      <c r="E7" s="329">
        <f>'SERVENTE REAL'!I161</f>
        <v>3801.7088843424649</v>
      </c>
      <c r="F7" s="330">
        <f>D7*E7</f>
        <v>3.4560989857658773</v>
      </c>
      <c r="G7" s="331">
        <f>F7*F38</f>
        <v>31171.040606480452</v>
      </c>
      <c r="H7" s="401">
        <f>G7*12</f>
        <v>374052.48727776541</v>
      </c>
      <c r="I7" s="738"/>
      <c r="J7" s="738"/>
      <c r="K7" s="738"/>
      <c r="L7" s="738"/>
      <c r="M7" s="737"/>
      <c r="N7" s="737"/>
      <c r="O7" s="737"/>
      <c r="P7" s="737"/>
      <c r="Q7" s="737"/>
    </row>
    <row r="8" spans="1:17" s="3" customFormat="1" ht="21.75" customHeight="1">
      <c r="B8" s="332" t="s">
        <v>327</v>
      </c>
      <c r="C8" s="320">
        <v>1100</v>
      </c>
      <c r="D8" s="318">
        <f>(1/(30*C8))</f>
        <v>3.0303030303030302E-5</v>
      </c>
      <c r="E8" s="319">
        <f>ENCARREGADO!I140</f>
        <v>4484.29</v>
      </c>
      <c r="F8" s="436">
        <f>(D8*E8)</f>
        <v>0.13588757575757576</v>
      </c>
      <c r="G8" s="120">
        <f>F8*F38</f>
        <v>1225.5890700181817</v>
      </c>
      <c r="H8" s="54">
        <f t="shared" ref="H8:H9" si="0">G8*12</f>
        <v>14707.06884021818</v>
      </c>
      <c r="I8" s="739"/>
      <c r="J8" s="751"/>
      <c r="K8" s="752"/>
      <c r="L8" s="752"/>
      <c r="M8" s="737"/>
      <c r="N8" s="737"/>
      <c r="O8" s="737"/>
      <c r="P8" s="737"/>
      <c r="Q8" s="737"/>
    </row>
    <row r="9" spans="1:17" s="3" customFormat="1" ht="21.75" customHeight="1" thickBot="1">
      <c r="B9" s="694" t="s">
        <v>12</v>
      </c>
      <c r="C9" s="695"/>
      <c r="D9" s="695"/>
      <c r="E9" s="696"/>
      <c r="F9" s="338">
        <f>SUM(F7:F8)</f>
        <v>3.591986561523453</v>
      </c>
      <c r="G9" s="339">
        <f>F9*F38</f>
        <v>32396.629676498633</v>
      </c>
      <c r="H9" s="402">
        <f t="shared" si="0"/>
        <v>388759.55611798359</v>
      </c>
      <c r="I9" s="739"/>
      <c r="J9" s="740"/>
      <c r="K9" s="739"/>
      <c r="L9" s="739"/>
      <c r="M9" s="737"/>
      <c r="N9" s="737"/>
      <c r="O9" s="737"/>
      <c r="P9" s="737"/>
      <c r="Q9" s="737"/>
    </row>
    <row r="10" spans="1:17" ht="18.75" customHeight="1">
      <c r="B10" s="333" t="s">
        <v>328</v>
      </c>
      <c r="C10" s="334">
        <v>400</v>
      </c>
      <c r="D10" s="335">
        <f>1/C10</f>
        <v>2.5000000000000001E-3</v>
      </c>
      <c r="E10" s="336">
        <f>'SERVENTE REAL'!I161</f>
        <v>3801.7088843424649</v>
      </c>
      <c r="F10" s="330">
        <f>D10*E10</f>
        <v>9.504272210856163</v>
      </c>
      <c r="G10" s="331">
        <f>F10*F39</f>
        <v>20636.246080543555</v>
      </c>
      <c r="H10" s="401">
        <f>G10*12</f>
        <v>247634.95296652266</v>
      </c>
      <c r="I10" s="734"/>
      <c r="J10" s="316"/>
      <c r="K10" s="316"/>
      <c r="L10" s="316"/>
      <c r="M10" s="737"/>
      <c r="N10" s="737"/>
      <c r="O10" s="737"/>
      <c r="P10" s="737"/>
      <c r="Q10" s="737"/>
    </row>
    <row r="11" spans="1:17" ht="18" customHeight="1">
      <c r="B11" s="337" t="s">
        <v>327</v>
      </c>
      <c r="C11" s="321">
        <v>400</v>
      </c>
      <c r="D11" s="243">
        <f>(1/(30*C11))</f>
        <v>8.3333333333333331E-5</v>
      </c>
      <c r="E11" s="437">
        <f>ENCARREGADO!I140</f>
        <v>4484.29</v>
      </c>
      <c r="F11" s="436">
        <f>E11*D11</f>
        <v>0.37369083333333331</v>
      </c>
      <c r="G11" s="120">
        <f>F11*F39</f>
        <v>811.37995878333334</v>
      </c>
      <c r="H11" s="54">
        <f t="shared" ref="H11" si="1">G11*12</f>
        <v>9736.5595054000005</v>
      </c>
      <c r="I11" s="734"/>
      <c r="J11" s="316"/>
      <c r="K11" s="316"/>
      <c r="L11" s="316"/>
      <c r="M11" s="737"/>
      <c r="N11" s="737"/>
      <c r="O11" s="737"/>
      <c r="P11" s="737"/>
      <c r="Q11" s="737"/>
    </row>
    <row r="12" spans="1:17" ht="21" customHeight="1" thickBot="1">
      <c r="B12" s="694" t="s">
        <v>12</v>
      </c>
      <c r="C12" s="695"/>
      <c r="D12" s="695"/>
      <c r="E12" s="696"/>
      <c r="F12" s="338">
        <f>SUM(F10:F11)</f>
        <v>9.8779630441894959</v>
      </c>
      <c r="G12" s="339">
        <f>SUM(G10:G11)</f>
        <v>21447.626039326889</v>
      </c>
      <c r="H12" s="402">
        <f>G12*12</f>
        <v>257371.51247192267</v>
      </c>
      <c r="I12" s="741"/>
      <c r="J12" s="742"/>
      <c r="K12" s="316"/>
      <c r="L12" s="316"/>
      <c r="M12" s="737"/>
      <c r="N12" s="737"/>
      <c r="O12" s="737"/>
      <c r="P12" s="737"/>
      <c r="Q12" s="737"/>
    </row>
    <row r="13" spans="1:17" ht="24">
      <c r="B13" s="344" t="s">
        <v>330</v>
      </c>
      <c r="C13" s="345">
        <v>2100</v>
      </c>
      <c r="D13" s="335">
        <f>1/C13</f>
        <v>4.7619047619047619E-4</v>
      </c>
      <c r="E13" s="345">
        <f>'SERVENTE REAL'!I161</f>
        <v>3801.7088843424649</v>
      </c>
      <c r="F13" s="330">
        <f>D13*E13</f>
        <v>1.8103375639726023</v>
      </c>
      <c r="G13" s="331">
        <f>F13*F40</f>
        <v>6194.7216966552887</v>
      </c>
      <c r="H13" s="401">
        <f>G13*12</f>
        <v>74336.660359863468</v>
      </c>
      <c r="I13" s="734"/>
      <c r="J13" s="316"/>
      <c r="K13" s="316"/>
      <c r="L13" s="316"/>
      <c r="M13" s="737"/>
      <c r="N13" s="737"/>
      <c r="O13" s="737"/>
      <c r="P13" s="737"/>
      <c r="Q13" s="737"/>
    </row>
    <row r="14" spans="1:17">
      <c r="B14" s="346" t="s">
        <v>329</v>
      </c>
      <c r="C14" s="242">
        <v>2100</v>
      </c>
      <c r="D14" s="13">
        <f>(1/(30*C14))</f>
        <v>1.5873015873015872E-5</v>
      </c>
      <c r="E14" s="242">
        <f>ENCARREGADO!I146</f>
        <v>4484.29</v>
      </c>
      <c r="F14" s="319">
        <f>E14*D14</f>
        <v>7.1179206349206339E-2</v>
      </c>
      <c r="G14" s="325">
        <f>F14*F40</f>
        <v>243.56527903809521</v>
      </c>
      <c r="H14" s="54">
        <f t="shared" ref="H14" si="2">G14*12</f>
        <v>2922.7833484571424</v>
      </c>
      <c r="I14" s="734"/>
      <c r="J14" s="316"/>
      <c r="K14" s="316"/>
      <c r="L14" s="316"/>
      <c r="M14" s="737"/>
      <c r="N14" s="737"/>
      <c r="O14" s="737"/>
      <c r="P14" s="737"/>
      <c r="Q14" s="737"/>
    </row>
    <row r="15" spans="1:17" ht="18" customHeight="1" thickBot="1">
      <c r="B15" s="694" t="s">
        <v>12</v>
      </c>
      <c r="C15" s="695"/>
      <c r="D15" s="695"/>
      <c r="E15" s="696"/>
      <c r="F15" s="348">
        <f>SUM(F13:F14)</f>
        <v>1.8815167703218085</v>
      </c>
      <c r="G15" s="349">
        <f>SUM(G13:G14)</f>
        <v>6438.2869756933842</v>
      </c>
      <c r="H15" s="402">
        <f>G15*12</f>
        <v>77259.443708320614</v>
      </c>
      <c r="I15" s="741"/>
      <c r="J15" s="316"/>
      <c r="K15" s="316"/>
      <c r="L15" s="316"/>
      <c r="M15" s="737"/>
      <c r="N15" s="737"/>
      <c r="O15" s="737"/>
      <c r="P15" s="737"/>
      <c r="Q15" s="737"/>
    </row>
    <row r="16" spans="1:17" ht="24">
      <c r="B16" s="344" t="s">
        <v>331</v>
      </c>
      <c r="C16" s="345">
        <v>1200</v>
      </c>
      <c r="D16" s="335">
        <f>1/C16</f>
        <v>8.3333333333333339E-4</v>
      </c>
      <c r="E16" s="345">
        <f>'SERVENTE REAL'!I161</f>
        <v>3801.7088843424649</v>
      </c>
      <c r="F16" s="330">
        <f>D16*E16</f>
        <v>3.1680907369520543</v>
      </c>
      <c r="G16" s="331">
        <f>F16*F41</f>
        <v>11212.665140757559</v>
      </c>
      <c r="H16" s="401">
        <f>G16*12</f>
        <v>134551.98168909072</v>
      </c>
      <c r="I16" s="734"/>
      <c r="J16" s="316"/>
      <c r="K16" s="316"/>
      <c r="L16" s="743"/>
      <c r="M16" s="737"/>
      <c r="N16" s="737"/>
      <c r="O16" s="737"/>
      <c r="P16" s="737"/>
      <c r="Q16" s="737"/>
    </row>
    <row r="17" spans="2:17" ht="15.75" customHeight="1">
      <c r="B17" s="413" t="s">
        <v>329</v>
      </c>
      <c r="C17" s="28">
        <v>1200</v>
      </c>
      <c r="D17" s="243">
        <f>(1/(30*C17))</f>
        <v>2.7777777777777779E-5</v>
      </c>
      <c r="E17" s="28">
        <f>ENCARREGADO!I140</f>
        <v>4484.29</v>
      </c>
      <c r="F17" s="319">
        <f>D17*E17</f>
        <v>0.12456361111111111</v>
      </c>
      <c r="G17" s="325">
        <f>F17*F41</f>
        <v>440.86176062499999</v>
      </c>
      <c r="H17" s="54">
        <f t="shared" ref="H17" si="3">G17*12</f>
        <v>5290.3411274999999</v>
      </c>
      <c r="I17" s="734"/>
      <c r="J17" s="316"/>
      <c r="K17" s="316"/>
      <c r="L17" s="743"/>
      <c r="M17" s="737"/>
      <c r="N17" s="737"/>
      <c r="O17" s="737"/>
      <c r="P17" s="737"/>
      <c r="Q17" s="737"/>
    </row>
    <row r="18" spans="2:17" ht="16.5" customHeight="1" thickBot="1">
      <c r="B18" s="694" t="s">
        <v>12</v>
      </c>
      <c r="C18" s="695"/>
      <c r="D18" s="695"/>
      <c r="E18" s="696"/>
      <c r="F18" s="348">
        <f>SUM(F16:F17)</f>
        <v>3.2926543480631656</v>
      </c>
      <c r="G18" s="349">
        <f>F18*F41</f>
        <v>11653.526901382558</v>
      </c>
      <c r="H18" s="402">
        <f>G18*12</f>
        <v>139842.32281659069</v>
      </c>
      <c r="I18" s="734"/>
      <c r="J18" s="316"/>
      <c r="K18" s="316"/>
      <c r="L18" s="743"/>
      <c r="M18" s="737"/>
      <c r="N18" s="737"/>
      <c r="O18" s="737"/>
      <c r="P18" s="737"/>
      <c r="Q18" s="737"/>
    </row>
    <row r="19" spans="2:17" ht="15.75" customHeight="1">
      <c r="B19" s="344" t="s">
        <v>332</v>
      </c>
      <c r="C19" s="242">
        <v>200</v>
      </c>
      <c r="D19" s="13">
        <f>1/C19</f>
        <v>5.0000000000000001E-3</v>
      </c>
      <c r="E19" s="242">
        <f>'SERVENTE REAL'!I161</f>
        <v>3801.7088843424649</v>
      </c>
      <c r="F19" s="314">
        <f>D19*E19</f>
        <v>19.008544421712326</v>
      </c>
      <c r="G19" s="325">
        <f>F19*F42</f>
        <v>10411.74012154871</v>
      </c>
      <c r="H19" s="347">
        <f>G19*12</f>
        <v>124940.88145858451</v>
      </c>
      <c r="I19" s="734"/>
      <c r="J19" s="316"/>
      <c r="K19" s="316"/>
      <c r="L19" s="743"/>
      <c r="M19" s="737"/>
      <c r="N19" s="737"/>
      <c r="O19" s="737"/>
      <c r="P19" s="737"/>
      <c r="Q19" s="737"/>
    </row>
    <row r="20" spans="2:17" ht="15.75" customHeight="1">
      <c r="B20" s="413" t="s">
        <v>329</v>
      </c>
      <c r="C20" s="242">
        <v>200</v>
      </c>
      <c r="D20" s="13">
        <f>(1/(30*C20))</f>
        <v>1.6666666666666666E-4</v>
      </c>
      <c r="E20" s="242">
        <f>ENCARREGADO!I140</f>
        <v>4484.29</v>
      </c>
      <c r="F20" s="319">
        <f>E20*D20</f>
        <v>0.74738166666666661</v>
      </c>
      <c r="G20" s="325">
        <f>F20*F42</f>
        <v>409.37083409999997</v>
      </c>
      <c r="H20" s="347">
        <f t="shared" ref="H20" si="4">G20*12</f>
        <v>4912.4500091999998</v>
      </c>
      <c r="I20" s="734"/>
      <c r="J20" s="316"/>
      <c r="K20" s="316"/>
      <c r="L20" s="743"/>
      <c r="M20" s="737"/>
      <c r="N20" s="737"/>
      <c r="O20" s="737"/>
      <c r="P20" s="737"/>
      <c r="Q20" s="737"/>
    </row>
    <row r="21" spans="2:17" ht="16.5" customHeight="1" thickBot="1">
      <c r="B21" s="694" t="s">
        <v>12</v>
      </c>
      <c r="C21" s="695"/>
      <c r="D21" s="695"/>
      <c r="E21" s="696"/>
      <c r="F21" s="348">
        <f>SUM(F19:F20)</f>
        <v>19.755926088378992</v>
      </c>
      <c r="G21" s="349">
        <f>F21*F42</f>
        <v>10821.11095564871</v>
      </c>
      <c r="H21" s="403">
        <f>G21*12</f>
        <v>129853.33146778452</v>
      </c>
      <c r="I21" s="734"/>
      <c r="J21" s="316"/>
      <c r="K21" s="316"/>
      <c r="L21" s="743"/>
      <c r="M21" s="737"/>
      <c r="N21" s="737"/>
      <c r="O21" s="737"/>
      <c r="P21" s="737"/>
      <c r="Q21" s="737"/>
    </row>
    <row r="22" spans="2:17" s="14" customFormat="1" ht="15.75" customHeight="1">
      <c r="B22" s="343" t="s">
        <v>35</v>
      </c>
      <c r="C22" s="16"/>
      <c r="D22" s="17"/>
      <c r="E22" s="16"/>
      <c r="F22" s="439"/>
      <c r="G22" s="120">
        <f>G9+G12+G15+G18+G21</f>
        <v>82757.180548550168</v>
      </c>
      <c r="H22" s="53">
        <f>H9+H12+H15+H18+H21</f>
        <v>993086.16658260196</v>
      </c>
      <c r="I22" s="744"/>
      <c r="J22" s="317"/>
      <c r="K22" s="317"/>
      <c r="L22" s="743"/>
      <c r="M22" s="737"/>
      <c r="N22" s="737"/>
      <c r="O22" s="737"/>
      <c r="P22" s="737"/>
      <c r="Q22" s="737"/>
    </row>
    <row r="23" spans="2:17" s="14" customFormat="1" ht="15.75">
      <c r="B23" s="343"/>
      <c r="C23" s="16"/>
      <c r="D23" s="17"/>
      <c r="E23" s="16"/>
      <c r="F23" s="16"/>
      <c r="G23" s="352"/>
      <c r="H23" s="353"/>
      <c r="I23" s="350"/>
      <c r="L23" s="745"/>
      <c r="M23" s="745"/>
      <c r="N23" s="745"/>
      <c r="O23" s="745"/>
      <c r="P23" s="745"/>
      <c r="Q23" s="317"/>
    </row>
    <row r="24" spans="2:17" ht="15.75">
      <c r="B24" s="682" t="s">
        <v>13</v>
      </c>
      <c r="C24" s="683"/>
      <c r="D24" s="683"/>
      <c r="E24" s="683"/>
      <c r="F24" s="683"/>
      <c r="G24" s="683"/>
      <c r="H24" s="684"/>
      <c r="L24" s="743"/>
      <c r="M24" s="745"/>
      <c r="N24" s="746"/>
      <c r="O24" s="747"/>
      <c r="P24" s="747"/>
      <c r="Q24" s="316"/>
    </row>
    <row r="25" spans="2:17" s="19" customFormat="1" ht="36">
      <c r="B25" s="4" t="s">
        <v>14</v>
      </c>
      <c r="C25" s="5" t="s">
        <v>8</v>
      </c>
      <c r="D25" s="5" t="s">
        <v>9</v>
      </c>
      <c r="E25" s="5" t="s">
        <v>10</v>
      </c>
      <c r="F25" s="7" t="s">
        <v>11</v>
      </c>
      <c r="G25" s="51" t="s">
        <v>172</v>
      </c>
      <c r="H25" s="51" t="s">
        <v>173</v>
      </c>
      <c r="I25" s="20"/>
      <c r="L25" s="743"/>
      <c r="M25" s="745"/>
      <c r="N25" s="746"/>
      <c r="O25" s="747"/>
      <c r="P25" s="747"/>
      <c r="Q25" s="316"/>
    </row>
    <row r="26" spans="2:17" ht="15.75">
      <c r="B26" s="438" t="s">
        <v>216</v>
      </c>
      <c r="C26" s="351">
        <v>2400</v>
      </c>
      <c r="D26" s="9">
        <f>1/C26</f>
        <v>4.1666666666666669E-4</v>
      </c>
      <c r="E26" s="437">
        <f>'SERVENTE REAL'!I161</f>
        <v>3801.7088843424649</v>
      </c>
      <c r="F26" s="436">
        <f>D26*E26</f>
        <v>1.5840453684760272</v>
      </c>
      <c r="G26" s="121">
        <f>F26*F44</f>
        <v>37026.315986803951</v>
      </c>
      <c r="H26" s="54">
        <f>G26*12</f>
        <v>444315.79184164741</v>
      </c>
      <c r="L26" s="743"/>
      <c r="M26" s="748"/>
      <c r="N26" s="748"/>
      <c r="O26" s="748"/>
      <c r="P26" s="749"/>
      <c r="Q26" s="316"/>
    </row>
    <row r="27" spans="2:17" ht="15.75">
      <c r="B27" s="438" t="s">
        <v>329</v>
      </c>
      <c r="C27" s="351">
        <v>2400</v>
      </c>
      <c r="D27" s="9">
        <f>(1/(30*C27))</f>
        <v>1.388888888888889E-5</v>
      </c>
      <c r="E27" s="437">
        <f>ENCARREGADO!I140</f>
        <v>4484.29</v>
      </c>
      <c r="F27" s="436">
        <f>E27*D27</f>
        <v>6.2281805555555556E-2</v>
      </c>
      <c r="G27" s="121">
        <f>F27*F44</f>
        <v>1455.8079324124999</v>
      </c>
      <c r="H27" s="54">
        <f>G27*12</f>
        <v>17469.695188949998</v>
      </c>
      <c r="L27" s="745"/>
      <c r="M27" s="750"/>
      <c r="N27" s="750"/>
      <c r="O27" s="750"/>
      <c r="P27" s="749"/>
      <c r="Q27" s="316"/>
    </row>
    <row r="28" spans="2:17" s="14" customFormat="1">
      <c r="B28" s="343" t="s">
        <v>12</v>
      </c>
      <c r="C28" s="16"/>
      <c r="D28" s="22"/>
      <c r="E28" s="16"/>
      <c r="F28" s="439">
        <f>SUM(F26:F27)</f>
        <v>1.6463271740315828</v>
      </c>
      <c r="G28" s="120">
        <f>F28*F44</f>
        <v>38482.12391921645</v>
      </c>
      <c r="H28" s="120">
        <f>G28*12</f>
        <v>461785.4870305974</v>
      </c>
      <c r="I28" s="18"/>
    </row>
    <row r="29" spans="2:17" s="14" customFormat="1">
      <c r="B29" s="421"/>
      <c r="C29" s="422"/>
      <c r="D29" s="423"/>
      <c r="E29" s="422"/>
      <c r="F29" s="422"/>
      <c r="G29" s="424"/>
      <c r="H29" s="424"/>
      <c r="I29" s="18"/>
    </row>
    <row r="30" spans="2:17">
      <c r="B30" s="682" t="s">
        <v>199</v>
      </c>
      <c r="C30" s="683"/>
      <c r="D30" s="683"/>
      <c r="E30" s="683"/>
      <c r="F30" s="683"/>
      <c r="G30" s="683"/>
      <c r="H30" s="683"/>
      <c r="I30" s="683"/>
      <c r="J30" s="683"/>
      <c r="K30" s="684"/>
    </row>
    <row r="31" spans="2:17" s="19" customFormat="1" ht="36">
      <c r="B31" s="4" t="s">
        <v>14</v>
      </c>
      <c r="C31" s="5" t="s">
        <v>8</v>
      </c>
      <c r="D31" s="5" t="s">
        <v>9</v>
      </c>
      <c r="E31" s="5" t="s">
        <v>16</v>
      </c>
      <c r="F31" s="5" t="s">
        <v>17</v>
      </c>
      <c r="G31" s="5" t="s">
        <v>18</v>
      </c>
      <c r="H31" s="5" t="s">
        <v>19</v>
      </c>
      <c r="I31" s="7" t="s">
        <v>20</v>
      </c>
      <c r="J31" s="51" t="s">
        <v>172</v>
      </c>
      <c r="K31" s="51" t="s">
        <v>173</v>
      </c>
    </row>
    <row r="32" spans="2:17">
      <c r="B32" s="21" t="s">
        <v>216</v>
      </c>
      <c r="C32" s="8">
        <v>300</v>
      </c>
      <c r="D32" s="9">
        <f>1/C32</f>
        <v>3.3333333333333335E-3</v>
      </c>
      <c r="E32" s="23">
        <v>16</v>
      </c>
      <c r="F32" s="24">
        <f>1/188.76</f>
        <v>5.2977325704598437E-3</v>
      </c>
      <c r="G32" s="9">
        <f>D32*E32*F32</f>
        <v>2.8254573709119167E-4</v>
      </c>
      <c r="H32" s="8">
        <f>'SERVENTE REAL'!I161</f>
        <v>3801.7088843424649</v>
      </c>
      <c r="I32" s="48">
        <f>G32*H32</f>
        <v>1.0741566389326738</v>
      </c>
      <c r="J32" s="120">
        <f>I32*F45</f>
        <v>424.03114526695612</v>
      </c>
      <c r="K32" s="120">
        <f>J32*12</f>
        <v>5088.3737432034732</v>
      </c>
    </row>
    <row r="33" spans="2:14">
      <c r="B33" s="342" t="s">
        <v>329</v>
      </c>
      <c r="C33" s="341">
        <v>300</v>
      </c>
      <c r="D33" s="9">
        <f>(1/(30*C33))</f>
        <v>1.1111111111111112E-4</v>
      </c>
      <c r="E33" s="23">
        <v>16</v>
      </c>
      <c r="F33" s="24">
        <f>1/188.76</f>
        <v>5.2977325704598437E-3</v>
      </c>
      <c r="G33" s="9">
        <f>(D33*E33*F33)</f>
        <v>9.418191236373056E-6</v>
      </c>
      <c r="H33" s="341">
        <f>ENCARREGADO!I140</f>
        <v>4484.29</v>
      </c>
      <c r="I33" s="340">
        <f>G33*H33</f>
        <v>4.2233900779355328E-2</v>
      </c>
      <c r="J33" s="120">
        <f>I33*F45</f>
        <v>16.672139488292547</v>
      </c>
      <c r="K33" s="120">
        <f>J33*12</f>
        <v>200.06567385951058</v>
      </c>
    </row>
    <row r="34" spans="2:14" s="14" customFormat="1">
      <c r="B34" s="15" t="s">
        <v>12</v>
      </c>
      <c r="C34" s="16"/>
      <c r="D34" s="22"/>
      <c r="E34" s="16"/>
      <c r="F34" s="22"/>
      <c r="G34" s="22"/>
      <c r="H34" s="16"/>
      <c r="I34" s="49">
        <f>SUM(I32:I33)</f>
        <v>1.1163905397120291</v>
      </c>
      <c r="J34" s="54">
        <f>SUM(J32:J33)</f>
        <v>440.70328475524866</v>
      </c>
      <c r="K34" s="354">
        <f>SUM(K32:K33)</f>
        <v>5288.4394170629839</v>
      </c>
      <c r="L34" s="50"/>
    </row>
    <row r="35" spans="2:14" ht="13.5" customHeight="1"/>
    <row r="36" spans="2:14">
      <c r="B36" s="425" t="s">
        <v>21</v>
      </c>
      <c r="C36" s="426"/>
      <c r="D36" s="426"/>
      <c r="E36" s="426"/>
      <c r="F36" s="426"/>
      <c r="G36" s="426"/>
      <c r="H36" s="427"/>
      <c r="I36" s="2"/>
    </row>
    <row r="37" spans="2:14" s="14" customFormat="1" ht="24">
      <c r="B37" s="685" t="s">
        <v>22</v>
      </c>
      <c r="C37" s="686"/>
      <c r="D37" s="686"/>
      <c r="E37" s="244" t="s">
        <v>23</v>
      </c>
      <c r="F37" s="244" t="s">
        <v>24</v>
      </c>
      <c r="G37" s="687" t="s">
        <v>25</v>
      </c>
      <c r="H37" s="688"/>
      <c r="I37" s="416"/>
      <c r="J37" s="417"/>
      <c r="K37" s="418"/>
      <c r="L37" s="416"/>
      <c r="M37" s="416"/>
      <c r="N37" s="416"/>
    </row>
    <row r="38" spans="2:14" s="14" customFormat="1">
      <c r="B38" s="234" t="s">
        <v>28</v>
      </c>
      <c r="C38" s="235"/>
      <c r="D38" s="235"/>
      <c r="E38" s="9">
        <f>D7</f>
        <v>9.0909090909090909E-4</v>
      </c>
      <c r="F38" s="236">
        <v>9019.14</v>
      </c>
      <c r="G38" s="693">
        <f>E38*F38</f>
        <v>8.199218181818182</v>
      </c>
      <c r="H38" s="692"/>
      <c r="I38" s="419"/>
      <c r="J38" s="417"/>
      <c r="K38" s="418"/>
      <c r="L38" s="416"/>
      <c r="M38" s="416"/>
      <c r="N38" s="416"/>
    </row>
    <row r="39" spans="2:14" ht="12.75">
      <c r="B39" s="689" t="s">
        <v>26</v>
      </c>
      <c r="C39" s="690"/>
      <c r="D39" s="690"/>
      <c r="E39" s="12">
        <f>D10</f>
        <v>2.5000000000000001E-3</v>
      </c>
      <c r="F39" s="11">
        <v>2171.2600000000002</v>
      </c>
      <c r="G39" s="691">
        <f>E39*F39</f>
        <v>5.4281500000000005</v>
      </c>
      <c r="H39" s="692"/>
      <c r="I39" s="414"/>
      <c r="J39" s="414"/>
      <c r="K39" s="414"/>
      <c r="L39" s="415"/>
      <c r="M39" s="415"/>
      <c r="N39" s="420"/>
    </row>
    <row r="40" spans="2:14" ht="12.75">
      <c r="B40" s="10" t="s">
        <v>27</v>
      </c>
      <c r="C40" s="25"/>
      <c r="D40" s="25"/>
      <c r="E40" s="12">
        <f>D13</f>
        <v>4.7619047619047619E-4</v>
      </c>
      <c r="F40" s="11">
        <v>3421.86</v>
      </c>
      <c r="G40" s="691">
        <f>E40*F40</f>
        <v>1.6294571428571429</v>
      </c>
      <c r="H40" s="692"/>
      <c r="I40" s="414"/>
      <c r="J40" s="414"/>
      <c r="K40" s="414"/>
      <c r="L40" s="415"/>
      <c r="M40" s="415"/>
      <c r="N40" s="414"/>
    </row>
    <row r="41" spans="2:14">
      <c r="B41" s="10" t="s">
        <v>245</v>
      </c>
      <c r="C41" s="25"/>
      <c r="D41" s="25"/>
      <c r="E41" s="12">
        <f>D16</f>
        <v>8.3333333333333339E-4</v>
      </c>
      <c r="F41" s="11">
        <v>3539.25</v>
      </c>
      <c r="G41" s="691">
        <f>E41*F41</f>
        <v>2.9493750000000003</v>
      </c>
      <c r="H41" s="692"/>
      <c r="I41" s="414"/>
      <c r="J41" s="414"/>
      <c r="K41" s="414"/>
      <c r="L41" s="420"/>
      <c r="M41" s="420"/>
      <c r="N41" s="414"/>
    </row>
    <row r="42" spans="2:14">
      <c r="B42" s="10" t="s">
        <v>29</v>
      </c>
      <c r="C42" s="25"/>
      <c r="D42" s="25"/>
      <c r="E42" s="12">
        <f>D19</f>
        <v>5.0000000000000001E-3</v>
      </c>
      <c r="F42" s="11">
        <v>547.74</v>
      </c>
      <c r="G42" s="691">
        <f>E42*F42</f>
        <v>2.7387000000000001</v>
      </c>
      <c r="H42" s="692"/>
      <c r="I42" s="414"/>
      <c r="J42" s="414"/>
      <c r="K42" s="414"/>
      <c r="L42" s="414"/>
      <c r="M42" s="414"/>
      <c r="N42" s="414"/>
    </row>
    <row r="43" spans="2:14">
      <c r="B43" s="465" t="s">
        <v>35</v>
      </c>
      <c r="C43" s="681"/>
      <c r="D43" s="681"/>
      <c r="E43" s="681"/>
      <c r="F43" s="28">
        <f>SUM(F38:F42)</f>
        <v>18699.250000000004</v>
      </c>
      <c r="G43" s="666">
        <f>SUM(G38:H42)</f>
        <v>20.944900324675327</v>
      </c>
      <c r="H43" s="667"/>
      <c r="I43" s="414"/>
      <c r="J43" s="414"/>
      <c r="K43" s="414"/>
      <c r="L43" s="414"/>
      <c r="M43" s="414"/>
      <c r="N43" s="414"/>
    </row>
    <row r="44" spans="2:14">
      <c r="B44" s="664" t="s">
        <v>30</v>
      </c>
      <c r="C44" s="665"/>
      <c r="D44" s="665"/>
      <c r="E44" s="243">
        <f>D26</f>
        <v>4.1666666666666669E-4</v>
      </c>
      <c r="F44" s="28">
        <v>23374.53</v>
      </c>
      <c r="G44" s="666">
        <f>E44*F44</f>
        <v>9.7393874999999994</v>
      </c>
      <c r="H44" s="667"/>
      <c r="I44" s="414"/>
      <c r="J44" s="414"/>
      <c r="K44" s="414"/>
      <c r="L44" s="414"/>
      <c r="M44" s="414"/>
      <c r="N44" s="414"/>
    </row>
    <row r="45" spans="2:14" ht="12.75">
      <c r="B45" s="668" t="s">
        <v>3</v>
      </c>
      <c r="C45" s="669"/>
      <c r="D45" s="669"/>
      <c r="E45" s="13">
        <f>D32</f>
        <v>3.3333333333333335E-3</v>
      </c>
      <c r="F45" s="26">
        <f>(4342.33/22)*2</f>
        <v>394.75727272727272</v>
      </c>
      <c r="G45" s="670">
        <f>E45*F45</f>
        <v>1.3158575757575759</v>
      </c>
      <c r="H45" s="671"/>
      <c r="I45" s="275"/>
    </row>
    <row r="46" spans="2:14">
      <c r="B46" s="672" t="s">
        <v>36</v>
      </c>
      <c r="C46" s="673"/>
      <c r="D46" s="673"/>
      <c r="E46" s="673"/>
      <c r="F46" s="674"/>
      <c r="G46" s="677">
        <f>G43+G44+G45</f>
        <v>32.000145400432899</v>
      </c>
      <c r="H46" s="678"/>
      <c r="I46" s="2"/>
    </row>
    <row r="47" spans="2:14" ht="19.5" customHeight="1"/>
    <row r="48" spans="2:14">
      <c r="B48" s="425" t="s">
        <v>200</v>
      </c>
      <c r="C48" s="426"/>
      <c r="D48" s="426"/>
      <c r="E48" s="426"/>
      <c r="F48" s="426"/>
      <c r="G48" s="427"/>
      <c r="H48" s="2"/>
      <c r="I48" s="2"/>
    </row>
    <row r="49" spans="2:9">
      <c r="B49" s="463" t="s">
        <v>31</v>
      </c>
      <c r="C49" s="464"/>
      <c r="D49" s="61" t="s">
        <v>174</v>
      </c>
      <c r="E49" s="675" t="s">
        <v>176</v>
      </c>
      <c r="F49" s="676"/>
      <c r="G49" s="60" t="s">
        <v>175</v>
      </c>
      <c r="I49" s="2"/>
    </row>
    <row r="50" spans="2:9">
      <c r="B50" s="679" t="s">
        <v>1</v>
      </c>
      <c r="C50" s="680"/>
      <c r="D50" s="56">
        <f>G22</f>
        <v>82757.180548550168</v>
      </c>
      <c r="E50" s="462">
        <v>12</v>
      </c>
      <c r="F50" s="462"/>
      <c r="G50" s="57">
        <f>D50*E50</f>
        <v>993086.16658260208</v>
      </c>
      <c r="I50" s="2"/>
    </row>
    <row r="51" spans="2:9">
      <c r="B51" s="679" t="s">
        <v>34</v>
      </c>
      <c r="C51" s="680"/>
      <c r="D51" s="56">
        <f>G28</f>
        <v>38482.12391921645</v>
      </c>
      <c r="E51" s="462">
        <v>12</v>
      </c>
      <c r="F51" s="462"/>
      <c r="G51" s="57">
        <f>D51*E51</f>
        <v>461785.4870305974</v>
      </c>
    </row>
    <row r="52" spans="2:9">
      <c r="B52" s="55" t="s">
        <v>3</v>
      </c>
      <c r="C52" s="52"/>
      <c r="D52" s="56">
        <f>J34</f>
        <v>440.70328475524866</v>
      </c>
      <c r="E52" s="462">
        <v>12</v>
      </c>
      <c r="F52" s="462"/>
      <c r="G52" s="57">
        <f>D52*E52</f>
        <v>5288.4394170629839</v>
      </c>
      <c r="I52" s="2"/>
    </row>
    <row r="53" spans="2:9" ht="24" customHeight="1">
      <c r="B53" s="463" t="s">
        <v>177</v>
      </c>
      <c r="C53" s="464"/>
      <c r="D53" s="355">
        <f>SUM(D50:D52)</f>
        <v>121680.00775252187</v>
      </c>
      <c r="E53" s="465"/>
      <c r="F53" s="466"/>
      <c r="G53" s="58">
        <f>SUM(G50:G52)</f>
        <v>1460160.0930302625</v>
      </c>
      <c r="I53" s="2"/>
    </row>
    <row r="54" spans="2:9" ht="12.75" customHeight="1">
      <c r="B54" s="661" t="s">
        <v>381</v>
      </c>
      <c r="C54" s="662"/>
      <c r="D54" s="662"/>
      <c r="E54" s="662"/>
      <c r="F54" s="662"/>
      <c r="G54" s="663"/>
      <c r="H54" s="27"/>
    </row>
  </sheetData>
  <mergeCells count="41">
    <mergeCell ref="L24:L26"/>
    <mergeCell ref="M26:O26"/>
    <mergeCell ref="B9:E9"/>
    <mergeCell ref="A1:I1"/>
    <mergeCell ref="B3:C3"/>
    <mergeCell ref="B15:E15"/>
    <mergeCell ref="B18:E18"/>
    <mergeCell ref="B21:E21"/>
    <mergeCell ref="M6:Q22"/>
    <mergeCell ref="B43:E43"/>
    <mergeCell ref="G43:H43"/>
    <mergeCell ref="B5:H5"/>
    <mergeCell ref="B24:H24"/>
    <mergeCell ref="B30:K30"/>
    <mergeCell ref="B37:D37"/>
    <mergeCell ref="G37:H37"/>
    <mergeCell ref="B39:D39"/>
    <mergeCell ref="G39:H39"/>
    <mergeCell ref="G40:H40"/>
    <mergeCell ref="G41:H41"/>
    <mergeCell ref="G42:H42"/>
    <mergeCell ref="G38:H38"/>
    <mergeCell ref="I7:L7"/>
    <mergeCell ref="L16:L22"/>
    <mergeCell ref="B12:E12"/>
    <mergeCell ref="B54:G54"/>
    <mergeCell ref="B44:D44"/>
    <mergeCell ref="G44:H44"/>
    <mergeCell ref="B45:D45"/>
    <mergeCell ref="G45:H45"/>
    <mergeCell ref="B46:F46"/>
    <mergeCell ref="B49:C49"/>
    <mergeCell ref="E49:F49"/>
    <mergeCell ref="E50:F50"/>
    <mergeCell ref="E51:F51"/>
    <mergeCell ref="E52:F52"/>
    <mergeCell ref="B53:C53"/>
    <mergeCell ref="E53:F53"/>
    <mergeCell ref="G46:H46"/>
    <mergeCell ref="B50:C50"/>
    <mergeCell ref="B51:C51"/>
  </mergeCells>
  <printOptions horizontalCentered="1"/>
  <pageMargins left="0.19685039370078741" right="0.19685039370078741" top="1.3779527559055118" bottom="0.98425196850393704" header="0.51181102362204722" footer="0.51181102362204722"/>
  <pageSetup paperSize="9" scale="85" orientation="landscape" r:id="rId1"/>
  <headerFooter>
    <oddHeader xml:space="preserve">&amp;CMINISTERIO DA EDUCAÇAO
SECRETARIA DE EDUCAÇAO PROFISSIONAL E TECNOLOGICA
INSTITUTO FEDERAL DE EDUCAÇÃO, CIÊNCIA E TECNOLOGIA DE RORAIMA
DEPARTAMENTO DE COMPRAS/REITORIA
</oddHeader>
    <oddFooter>&amp;L&amp;D&amp;C&amp;Z&amp;F&amp;RPágina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5"/>
  <dimension ref="A1:Y86"/>
  <sheetViews>
    <sheetView showGridLines="0" tabSelected="1" zoomScale="110" zoomScaleNormal="110" workbookViewId="0">
      <selection activeCell="G83" sqref="G83"/>
    </sheetView>
  </sheetViews>
  <sheetFormatPr defaultRowHeight="12"/>
  <cols>
    <col min="1" max="1" width="6.85546875" style="30" customWidth="1"/>
    <col min="2" max="2" width="45.140625" style="35" customWidth="1"/>
    <col min="3" max="3" width="10.5703125" style="35" customWidth="1"/>
    <col min="4" max="4" width="10.7109375" style="35" customWidth="1"/>
    <col min="5" max="5" width="12.7109375" style="29" customWidth="1"/>
    <col min="6" max="6" width="2.7109375" style="35" customWidth="1"/>
    <col min="7" max="7" width="46.5703125" style="30" customWidth="1"/>
    <col min="8" max="8" width="6.5703125" style="216" customWidth="1"/>
    <col min="9" max="9" width="12.140625" style="31" customWidth="1"/>
    <col min="10" max="10" width="13.140625" style="30" customWidth="1"/>
    <col min="11" max="11" width="12.7109375" style="30" customWidth="1"/>
    <col min="12" max="12" width="2.7109375" style="30" customWidth="1"/>
    <col min="13" max="13" width="35.28515625" style="30" customWidth="1"/>
    <col min="14" max="14" width="10.85546875" style="30" customWidth="1"/>
    <col min="15" max="15" width="15.140625" style="30" customWidth="1"/>
    <col min="16" max="16" width="14.140625" style="30" customWidth="1"/>
    <col min="17" max="17" width="14.85546875" style="30" customWidth="1"/>
    <col min="18" max="18" width="13.140625" style="30" customWidth="1"/>
    <col min="19" max="24" width="9.140625" style="30"/>
    <col min="25" max="25" width="0" style="30" hidden="1" customWidth="1"/>
    <col min="26" max="262" width="9.140625" style="30"/>
    <col min="263" max="263" width="29.7109375" style="30" customWidth="1"/>
    <col min="264" max="264" width="12.7109375" style="30" customWidth="1"/>
    <col min="265" max="265" width="10.7109375" style="30" customWidth="1"/>
    <col min="266" max="266" width="12.7109375" style="30" customWidth="1"/>
    <col min="267" max="267" width="2.7109375" style="30" customWidth="1"/>
    <col min="268" max="268" width="29.7109375" style="30" customWidth="1"/>
    <col min="269" max="269" width="10.7109375" style="30" customWidth="1"/>
    <col min="270" max="270" width="12.7109375" style="30" customWidth="1"/>
    <col min="271" max="271" width="10.7109375" style="30" customWidth="1"/>
    <col min="272" max="272" width="12.7109375" style="30" customWidth="1"/>
    <col min="273" max="274" width="0" style="30" hidden="1" customWidth="1"/>
    <col min="275" max="518" width="9.140625" style="30"/>
    <col min="519" max="519" width="29.7109375" style="30" customWidth="1"/>
    <col min="520" max="520" width="12.7109375" style="30" customWidth="1"/>
    <col min="521" max="521" width="10.7109375" style="30" customWidth="1"/>
    <col min="522" max="522" width="12.7109375" style="30" customWidth="1"/>
    <col min="523" max="523" width="2.7109375" style="30" customWidth="1"/>
    <col min="524" max="524" width="29.7109375" style="30" customWidth="1"/>
    <col min="525" max="525" width="10.7109375" style="30" customWidth="1"/>
    <col min="526" max="526" width="12.7109375" style="30" customWidth="1"/>
    <col min="527" max="527" width="10.7109375" style="30" customWidth="1"/>
    <col min="528" max="528" width="12.7109375" style="30" customWidth="1"/>
    <col min="529" max="530" width="0" style="30" hidden="1" customWidth="1"/>
    <col min="531" max="774" width="9.140625" style="30"/>
    <col min="775" max="775" width="29.7109375" style="30" customWidth="1"/>
    <col min="776" max="776" width="12.7109375" style="30" customWidth="1"/>
    <col min="777" max="777" width="10.7109375" style="30" customWidth="1"/>
    <col min="778" max="778" width="12.7109375" style="30" customWidth="1"/>
    <col min="779" max="779" width="2.7109375" style="30" customWidth="1"/>
    <col min="780" max="780" width="29.7109375" style="30" customWidth="1"/>
    <col min="781" max="781" width="10.7109375" style="30" customWidth="1"/>
    <col min="782" max="782" width="12.7109375" style="30" customWidth="1"/>
    <col min="783" max="783" width="10.7109375" style="30" customWidth="1"/>
    <col min="784" max="784" width="12.7109375" style="30" customWidth="1"/>
    <col min="785" max="786" width="0" style="30" hidden="1" customWidth="1"/>
    <col min="787" max="1030" width="9.140625" style="30"/>
    <col min="1031" max="1031" width="29.7109375" style="30" customWidth="1"/>
    <col min="1032" max="1032" width="12.7109375" style="30" customWidth="1"/>
    <col min="1033" max="1033" width="10.7109375" style="30" customWidth="1"/>
    <col min="1034" max="1034" width="12.7109375" style="30" customWidth="1"/>
    <col min="1035" max="1035" width="2.7109375" style="30" customWidth="1"/>
    <col min="1036" max="1036" width="29.7109375" style="30" customWidth="1"/>
    <col min="1037" max="1037" width="10.7109375" style="30" customWidth="1"/>
    <col min="1038" max="1038" width="12.7109375" style="30" customWidth="1"/>
    <col min="1039" max="1039" width="10.7109375" style="30" customWidth="1"/>
    <col min="1040" max="1040" width="12.7109375" style="30" customWidth="1"/>
    <col min="1041" max="1042" width="0" style="30" hidden="1" customWidth="1"/>
    <col min="1043" max="1286" width="9.140625" style="30"/>
    <col min="1287" max="1287" width="29.7109375" style="30" customWidth="1"/>
    <col min="1288" max="1288" width="12.7109375" style="30" customWidth="1"/>
    <col min="1289" max="1289" width="10.7109375" style="30" customWidth="1"/>
    <col min="1290" max="1290" width="12.7109375" style="30" customWidth="1"/>
    <col min="1291" max="1291" width="2.7109375" style="30" customWidth="1"/>
    <col min="1292" max="1292" width="29.7109375" style="30" customWidth="1"/>
    <col min="1293" max="1293" width="10.7109375" style="30" customWidth="1"/>
    <col min="1294" max="1294" width="12.7109375" style="30" customWidth="1"/>
    <col min="1295" max="1295" width="10.7109375" style="30" customWidth="1"/>
    <col min="1296" max="1296" width="12.7109375" style="30" customWidth="1"/>
    <col min="1297" max="1298" width="0" style="30" hidden="1" customWidth="1"/>
    <col min="1299" max="1542" width="9.140625" style="30"/>
    <col min="1543" max="1543" width="29.7109375" style="30" customWidth="1"/>
    <col min="1544" max="1544" width="12.7109375" style="30" customWidth="1"/>
    <col min="1545" max="1545" width="10.7109375" style="30" customWidth="1"/>
    <col min="1546" max="1546" width="12.7109375" style="30" customWidth="1"/>
    <col min="1547" max="1547" width="2.7109375" style="30" customWidth="1"/>
    <col min="1548" max="1548" width="29.7109375" style="30" customWidth="1"/>
    <col min="1549" max="1549" width="10.7109375" style="30" customWidth="1"/>
    <col min="1550" max="1550" width="12.7109375" style="30" customWidth="1"/>
    <col min="1551" max="1551" width="10.7109375" style="30" customWidth="1"/>
    <col min="1552" max="1552" width="12.7109375" style="30" customWidth="1"/>
    <col min="1553" max="1554" width="0" style="30" hidden="1" customWidth="1"/>
    <col min="1555" max="1798" width="9.140625" style="30"/>
    <col min="1799" max="1799" width="29.7109375" style="30" customWidth="1"/>
    <col min="1800" max="1800" width="12.7109375" style="30" customWidth="1"/>
    <col min="1801" max="1801" width="10.7109375" style="30" customWidth="1"/>
    <col min="1802" max="1802" width="12.7109375" style="30" customWidth="1"/>
    <col min="1803" max="1803" width="2.7109375" style="30" customWidth="1"/>
    <col min="1804" max="1804" width="29.7109375" style="30" customWidth="1"/>
    <col min="1805" max="1805" width="10.7109375" style="30" customWidth="1"/>
    <col min="1806" max="1806" width="12.7109375" style="30" customWidth="1"/>
    <col min="1807" max="1807" width="10.7109375" style="30" customWidth="1"/>
    <col min="1808" max="1808" width="12.7109375" style="30" customWidth="1"/>
    <col min="1809" max="1810" width="0" style="30" hidden="1" customWidth="1"/>
    <col min="1811" max="2054" width="9.140625" style="30"/>
    <col min="2055" max="2055" width="29.7109375" style="30" customWidth="1"/>
    <col min="2056" max="2056" width="12.7109375" style="30" customWidth="1"/>
    <col min="2057" max="2057" width="10.7109375" style="30" customWidth="1"/>
    <col min="2058" max="2058" width="12.7109375" style="30" customWidth="1"/>
    <col min="2059" max="2059" width="2.7109375" style="30" customWidth="1"/>
    <col min="2060" max="2060" width="29.7109375" style="30" customWidth="1"/>
    <col min="2061" max="2061" width="10.7109375" style="30" customWidth="1"/>
    <col min="2062" max="2062" width="12.7109375" style="30" customWidth="1"/>
    <col min="2063" max="2063" width="10.7109375" style="30" customWidth="1"/>
    <col min="2064" max="2064" width="12.7109375" style="30" customWidth="1"/>
    <col min="2065" max="2066" width="0" style="30" hidden="1" customWidth="1"/>
    <col min="2067" max="2310" width="9.140625" style="30"/>
    <col min="2311" max="2311" width="29.7109375" style="30" customWidth="1"/>
    <col min="2312" max="2312" width="12.7109375" style="30" customWidth="1"/>
    <col min="2313" max="2313" width="10.7109375" style="30" customWidth="1"/>
    <col min="2314" max="2314" width="12.7109375" style="30" customWidth="1"/>
    <col min="2315" max="2315" width="2.7109375" style="30" customWidth="1"/>
    <col min="2316" max="2316" width="29.7109375" style="30" customWidth="1"/>
    <col min="2317" max="2317" width="10.7109375" style="30" customWidth="1"/>
    <col min="2318" max="2318" width="12.7109375" style="30" customWidth="1"/>
    <col min="2319" max="2319" width="10.7109375" style="30" customWidth="1"/>
    <col min="2320" max="2320" width="12.7109375" style="30" customWidth="1"/>
    <col min="2321" max="2322" width="0" style="30" hidden="1" customWidth="1"/>
    <col min="2323" max="2566" width="9.140625" style="30"/>
    <col min="2567" max="2567" width="29.7109375" style="30" customWidth="1"/>
    <col min="2568" max="2568" width="12.7109375" style="30" customWidth="1"/>
    <col min="2569" max="2569" width="10.7109375" style="30" customWidth="1"/>
    <col min="2570" max="2570" width="12.7109375" style="30" customWidth="1"/>
    <col min="2571" max="2571" width="2.7109375" style="30" customWidth="1"/>
    <col min="2572" max="2572" width="29.7109375" style="30" customWidth="1"/>
    <col min="2573" max="2573" width="10.7109375" style="30" customWidth="1"/>
    <col min="2574" max="2574" width="12.7109375" style="30" customWidth="1"/>
    <col min="2575" max="2575" width="10.7109375" style="30" customWidth="1"/>
    <col min="2576" max="2576" width="12.7109375" style="30" customWidth="1"/>
    <col min="2577" max="2578" width="0" style="30" hidden="1" customWidth="1"/>
    <col min="2579" max="2822" width="9.140625" style="30"/>
    <col min="2823" max="2823" width="29.7109375" style="30" customWidth="1"/>
    <col min="2824" max="2824" width="12.7109375" style="30" customWidth="1"/>
    <col min="2825" max="2825" width="10.7109375" style="30" customWidth="1"/>
    <col min="2826" max="2826" width="12.7109375" style="30" customWidth="1"/>
    <col min="2827" max="2827" width="2.7109375" style="30" customWidth="1"/>
    <col min="2828" max="2828" width="29.7109375" style="30" customWidth="1"/>
    <col min="2829" max="2829" width="10.7109375" style="30" customWidth="1"/>
    <col min="2830" max="2830" width="12.7109375" style="30" customWidth="1"/>
    <col min="2831" max="2831" width="10.7109375" style="30" customWidth="1"/>
    <col min="2832" max="2832" width="12.7109375" style="30" customWidth="1"/>
    <col min="2833" max="2834" width="0" style="30" hidden="1" customWidth="1"/>
    <col min="2835" max="3078" width="9.140625" style="30"/>
    <col min="3079" max="3079" width="29.7109375" style="30" customWidth="1"/>
    <col min="3080" max="3080" width="12.7109375" style="30" customWidth="1"/>
    <col min="3081" max="3081" width="10.7109375" style="30" customWidth="1"/>
    <col min="3082" max="3082" width="12.7109375" style="30" customWidth="1"/>
    <col min="3083" max="3083" width="2.7109375" style="30" customWidth="1"/>
    <col min="3084" max="3084" width="29.7109375" style="30" customWidth="1"/>
    <col min="3085" max="3085" width="10.7109375" style="30" customWidth="1"/>
    <col min="3086" max="3086" width="12.7109375" style="30" customWidth="1"/>
    <col min="3087" max="3087" width="10.7109375" style="30" customWidth="1"/>
    <col min="3088" max="3088" width="12.7109375" style="30" customWidth="1"/>
    <col min="3089" max="3090" width="0" style="30" hidden="1" customWidth="1"/>
    <col min="3091" max="3334" width="9.140625" style="30"/>
    <col min="3335" max="3335" width="29.7109375" style="30" customWidth="1"/>
    <col min="3336" max="3336" width="12.7109375" style="30" customWidth="1"/>
    <col min="3337" max="3337" width="10.7109375" style="30" customWidth="1"/>
    <col min="3338" max="3338" width="12.7109375" style="30" customWidth="1"/>
    <col min="3339" max="3339" width="2.7109375" style="30" customWidth="1"/>
    <col min="3340" max="3340" width="29.7109375" style="30" customWidth="1"/>
    <col min="3341" max="3341" width="10.7109375" style="30" customWidth="1"/>
    <col min="3342" max="3342" width="12.7109375" style="30" customWidth="1"/>
    <col min="3343" max="3343" width="10.7109375" style="30" customWidth="1"/>
    <col min="3344" max="3344" width="12.7109375" style="30" customWidth="1"/>
    <col min="3345" max="3346" width="0" style="30" hidden="1" customWidth="1"/>
    <col min="3347" max="3590" width="9.140625" style="30"/>
    <col min="3591" max="3591" width="29.7109375" style="30" customWidth="1"/>
    <col min="3592" max="3592" width="12.7109375" style="30" customWidth="1"/>
    <col min="3593" max="3593" width="10.7109375" style="30" customWidth="1"/>
    <col min="3594" max="3594" width="12.7109375" style="30" customWidth="1"/>
    <col min="3595" max="3595" width="2.7109375" style="30" customWidth="1"/>
    <col min="3596" max="3596" width="29.7109375" style="30" customWidth="1"/>
    <col min="3597" max="3597" width="10.7109375" style="30" customWidth="1"/>
    <col min="3598" max="3598" width="12.7109375" style="30" customWidth="1"/>
    <col min="3599" max="3599" width="10.7109375" style="30" customWidth="1"/>
    <col min="3600" max="3600" width="12.7109375" style="30" customWidth="1"/>
    <col min="3601" max="3602" width="0" style="30" hidden="1" customWidth="1"/>
    <col min="3603" max="3846" width="9.140625" style="30"/>
    <col min="3847" max="3847" width="29.7109375" style="30" customWidth="1"/>
    <col min="3848" max="3848" width="12.7109375" style="30" customWidth="1"/>
    <col min="3849" max="3849" width="10.7109375" style="30" customWidth="1"/>
    <col min="3850" max="3850" width="12.7109375" style="30" customWidth="1"/>
    <col min="3851" max="3851" width="2.7109375" style="30" customWidth="1"/>
    <col min="3852" max="3852" width="29.7109375" style="30" customWidth="1"/>
    <col min="3853" max="3853" width="10.7109375" style="30" customWidth="1"/>
    <col min="3854" max="3854" width="12.7109375" style="30" customWidth="1"/>
    <col min="3855" max="3855" width="10.7109375" style="30" customWidth="1"/>
    <col min="3856" max="3856" width="12.7109375" style="30" customWidth="1"/>
    <col min="3857" max="3858" width="0" style="30" hidden="1" customWidth="1"/>
    <col min="3859" max="4102" width="9.140625" style="30"/>
    <col min="4103" max="4103" width="29.7109375" style="30" customWidth="1"/>
    <col min="4104" max="4104" width="12.7109375" style="30" customWidth="1"/>
    <col min="4105" max="4105" width="10.7109375" style="30" customWidth="1"/>
    <col min="4106" max="4106" width="12.7109375" style="30" customWidth="1"/>
    <col min="4107" max="4107" width="2.7109375" style="30" customWidth="1"/>
    <col min="4108" max="4108" width="29.7109375" style="30" customWidth="1"/>
    <col min="4109" max="4109" width="10.7109375" style="30" customWidth="1"/>
    <col min="4110" max="4110" width="12.7109375" style="30" customWidth="1"/>
    <col min="4111" max="4111" width="10.7109375" style="30" customWidth="1"/>
    <col min="4112" max="4112" width="12.7109375" style="30" customWidth="1"/>
    <col min="4113" max="4114" width="0" style="30" hidden="1" customWidth="1"/>
    <col min="4115" max="4358" width="9.140625" style="30"/>
    <col min="4359" max="4359" width="29.7109375" style="30" customWidth="1"/>
    <col min="4360" max="4360" width="12.7109375" style="30" customWidth="1"/>
    <col min="4361" max="4361" width="10.7109375" style="30" customWidth="1"/>
    <col min="4362" max="4362" width="12.7109375" style="30" customWidth="1"/>
    <col min="4363" max="4363" width="2.7109375" style="30" customWidth="1"/>
    <col min="4364" max="4364" width="29.7109375" style="30" customWidth="1"/>
    <col min="4365" max="4365" width="10.7109375" style="30" customWidth="1"/>
    <col min="4366" max="4366" width="12.7109375" style="30" customWidth="1"/>
    <col min="4367" max="4367" width="10.7109375" style="30" customWidth="1"/>
    <col min="4368" max="4368" width="12.7109375" style="30" customWidth="1"/>
    <col min="4369" max="4370" width="0" style="30" hidden="1" customWidth="1"/>
    <col min="4371" max="4614" width="9.140625" style="30"/>
    <col min="4615" max="4615" width="29.7109375" style="30" customWidth="1"/>
    <col min="4616" max="4616" width="12.7109375" style="30" customWidth="1"/>
    <col min="4617" max="4617" width="10.7109375" style="30" customWidth="1"/>
    <col min="4618" max="4618" width="12.7109375" style="30" customWidth="1"/>
    <col min="4619" max="4619" width="2.7109375" style="30" customWidth="1"/>
    <col min="4620" max="4620" width="29.7109375" style="30" customWidth="1"/>
    <col min="4621" max="4621" width="10.7109375" style="30" customWidth="1"/>
    <col min="4622" max="4622" width="12.7109375" style="30" customWidth="1"/>
    <col min="4623" max="4623" width="10.7109375" style="30" customWidth="1"/>
    <col min="4624" max="4624" width="12.7109375" style="30" customWidth="1"/>
    <col min="4625" max="4626" width="0" style="30" hidden="1" customWidth="1"/>
    <col min="4627" max="4870" width="9.140625" style="30"/>
    <col min="4871" max="4871" width="29.7109375" style="30" customWidth="1"/>
    <col min="4872" max="4872" width="12.7109375" style="30" customWidth="1"/>
    <col min="4873" max="4873" width="10.7109375" style="30" customWidth="1"/>
    <col min="4874" max="4874" width="12.7109375" style="30" customWidth="1"/>
    <col min="4875" max="4875" width="2.7109375" style="30" customWidth="1"/>
    <col min="4876" max="4876" width="29.7109375" style="30" customWidth="1"/>
    <col min="4877" max="4877" width="10.7109375" style="30" customWidth="1"/>
    <col min="4878" max="4878" width="12.7109375" style="30" customWidth="1"/>
    <col min="4879" max="4879" width="10.7109375" style="30" customWidth="1"/>
    <col min="4880" max="4880" width="12.7109375" style="30" customWidth="1"/>
    <col min="4881" max="4882" width="0" style="30" hidden="1" customWidth="1"/>
    <col min="4883" max="5126" width="9.140625" style="30"/>
    <col min="5127" max="5127" width="29.7109375" style="30" customWidth="1"/>
    <col min="5128" max="5128" width="12.7109375" style="30" customWidth="1"/>
    <col min="5129" max="5129" width="10.7109375" style="30" customWidth="1"/>
    <col min="5130" max="5130" width="12.7109375" style="30" customWidth="1"/>
    <col min="5131" max="5131" width="2.7109375" style="30" customWidth="1"/>
    <col min="5132" max="5132" width="29.7109375" style="30" customWidth="1"/>
    <col min="5133" max="5133" width="10.7109375" style="30" customWidth="1"/>
    <col min="5134" max="5134" width="12.7109375" style="30" customWidth="1"/>
    <col min="5135" max="5135" width="10.7109375" style="30" customWidth="1"/>
    <col min="5136" max="5136" width="12.7109375" style="30" customWidth="1"/>
    <col min="5137" max="5138" width="0" style="30" hidden="1" customWidth="1"/>
    <col min="5139" max="5382" width="9.140625" style="30"/>
    <col min="5383" max="5383" width="29.7109375" style="30" customWidth="1"/>
    <col min="5384" max="5384" width="12.7109375" style="30" customWidth="1"/>
    <col min="5385" max="5385" width="10.7109375" style="30" customWidth="1"/>
    <col min="5386" max="5386" width="12.7109375" style="30" customWidth="1"/>
    <col min="5387" max="5387" width="2.7109375" style="30" customWidth="1"/>
    <col min="5388" max="5388" width="29.7109375" style="30" customWidth="1"/>
    <col min="5389" max="5389" width="10.7109375" style="30" customWidth="1"/>
    <col min="5390" max="5390" width="12.7109375" style="30" customWidth="1"/>
    <col min="5391" max="5391" width="10.7109375" style="30" customWidth="1"/>
    <col min="5392" max="5392" width="12.7109375" style="30" customWidth="1"/>
    <col min="5393" max="5394" width="0" style="30" hidden="1" customWidth="1"/>
    <col min="5395" max="5638" width="9.140625" style="30"/>
    <col min="5639" max="5639" width="29.7109375" style="30" customWidth="1"/>
    <col min="5640" max="5640" width="12.7109375" style="30" customWidth="1"/>
    <col min="5641" max="5641" width="10.7109375" style="30" customWidth="1"/>
    <col min="5642" max="5642" width="12.7109375" style="30" customWidth="1"/>
    <col min="5643" max="5643" width="2.7109375" style="30" customWidth="1"/>
    <col min="5644" max="5644" width="29.7109375" style="30" customWidth="1"/>
    <col min="5645" max="5645" width="10.7109375" style="30" customWidth="1"/>
    <col min="5646" max="5646" width="12.7109375" style="30" customWidth="1"/>
    <col min="5647" max="5647" width="10.7109375" style="30" customWidth="1"/>
    <col min="5648" max="5648" width="12.7109375" style="30" customWidth="1"/>
    <col min="5649" max="5650" width="0" style="30" hidden="1" customWidth="1"/>
    <col min="5651" max="5894" width="9.140625" style="30"/>
    <col min="5895" max="5895" width="29.7109375" style="30" customWidth="1"/>
    <col min="5896" max="5896" width="12.7109375" style="30" customWidth="1"/>
    <col min="5897" max="5897" width="10.7109375" style="30" customWidth="1"/>
    <col min="5898" max="5898" width="12.7109375" style="30" customWidth="1"/>
    <col min="5899" max="5899" width="2.7109375" style="30" customWidth="1"/>
    <col min="5900" max="5900" width="29.7109375" style="30" customWidth="1"/>
    <col min="5901" max="5901" width="10.7109375" style="30" customWidth="1"/>
    <col min="5902" max="5902" width="12.7109375" style="30" customWidth="1"/>
    <col min="5903" max="5903" width="10.7109375" style="30" customWidth="1"/>
    <col min="5904" max="5904" width="12.7109375" style="30" customWidth="1"/>
    <col min="5905" max="5906" width="0" style="30" hidden="1" customWidth="1"/>
    <col min="5907" max="6150" width="9.140625" style="30"/>
    <col min="6151" max="6151" width="29.7109375" style="30" customWidth="1"/>
    <col min="6152" max="6152" width="12.7109375" style="30" customWidth="1"/>
    <col min="6153" max="6153" width="10.7109375" style="30" customWidth="1"/>
    <col min="6154" max="6154" width="12.7109375" style="30" customWidth="1"/>
    <col min="6155" max="6155" width="2.7109375" style="30" customWidth="1"/>
    <col min="6156" max="6156" width="29.7109375" style="30" customWidth="1"/>
    <col min="6157" max="6157" width="10.7109375" style="30" customWidth="1"/>
    <col min="6158" max="6158" width="12.7109375" style="30" customWidth="1"/>
    <col min="6159" max="6159" width="10.7109375" style="30" customWidth="1"/>
    <col min="6160" max="6160" width="12.7109375" style="30" customWidth="1"/>
    <col min="6161" max="6162" width="0" style="30" hidden="1" customWidth="1"/>
    <col min="6163" max="6406" width="9.140625" style="30"/>
    <col min="6407" max="6407" width="29.7109375" style="30" customWidth="1"/>
    <col min="6408" max="6408" width="12.7109375" style="30" customWidth="1"/>
    <col min="6409" max="6409" width="10.7109375" style="30" customWidth="1"/>
    <col min="6410" max="6410" width="12.7109375" style="30" customWidth="1"/>
    <col min="6411" max="6411" width="2.7109375" style="30" customWidth="1"/>
    <col min="6412" max="6412" width="29.7109375" style="30" customWidth="1"/>
    <col min="6413" max="6413" width="10.7109375" style="30" customWidth="1"/>
    <col min="6414" max="6414" width="12.7109375" style="30" customWidth="1"/>
    <col min="6415" max="6415" width="10.7109375" style="30" customWidth="1"/>
    <col min="6416" max="6416" width="12.7109375" style="30" customWidth="1"/>
    <col min="6417" max="6418" width="0" style="30" hidden="1" customWidth="1"/>
    <col min="6419" max="6662" width="9.140625" style="30"/>
    <col min="6663" max="6663" width="29.7109375" style="30" customWidth="1"/>
    <col min="6664" max="6664" width="12.7109375" style="30" customWidth="1"/>
    <col min="6665" max="6665" width="10.7109375" style="30" customWidth="1"/>
    <col min="6666" max="6666" width="12.7109375" style="30" customWidth="1"/>
    <col min="6667" max="6667" width="2.7109375" style="30" customWidth="1"/>
    <col min="6668" max="6668" width="29.7109375" style="30" customWidth="1"/>
    <col min="6669" max="6669" width="10.7109375" style="30" customWidth="1"/>
    <col min="6670" max="6670" width="12.7109375" style="30" customWidth="1"/>
    <col min="6671" max="6671" width="10.7109375" style="30" customWidth="1"/>
    <col min="6672" max="6672" width="12.7109375" style="30" customWidth="1"/>
    <col min="6673" max="6674" width="0" style="30" hidden="1" customWidth="1"/>
    <col min="6675" max="6918" width="9.140625" style="30"/>
    <col min="6919" max="6919" width="29.7109375" style="30" customWidth="1"/>
    <col min="6920" max="6920" width="12.7109375" style="30" customWidth="1"/>
    <col min="6921" max="6921" width="10.7109375" style="30" customWidth="1"/>
    <col min="6922" max="6922" width="12.7109375" style="30" customWidth="1"/>
    <col min="6923" max="6923" width="2.7109375" style="30" customWidth="1"/>
    <col min="6924" max="6924" width="29.7109375" style="30" customWidth="1"/>
    <col min="6925" max="6925" width="10.7109375" style="30" customWidth="1"/>
    <col min="6926" max="6926" width="12.7109375" style="30" customWidth="1"/>
    <col min="6927" max="6927" width="10.7109375" style="30" customWidth="1"/>
    <col min="6928" max="6928" width="12.7109375" style="30" customWidth="1"/>
    <col min="6929" max="6930" width="0" style="30" hidden="1" customWidth="1"/>
    <col min="6931" max="7174" width="9.140625" style="30"/>
    <col min="7175" max="7175" width="29.7109375" style="30" customWidth="1"/>
    <col min="7176" max="7176" width="12.7109375" style="30" customWidth="1"/>
    <col min="7177" max="7177" width="10.7109375" style="30" customWidth="1"/>
    <col min="7178" max="7178" width="12.7109375" style="30" customWidth="1"/>
    <col min="7179" max="7179" width="2.7109375" style="30" customWidth="1"/>
    <col min="7180" max="7180" width="29.7109375" style="30" customWidth="1"/>
    <col min="7181" max="7181" width="10.7109375" style="30" customWidth="1"/>
    <col min="7182" max="7182" width="12.7109375" style="30" customWidth="1"/>
    <col min="7183" max="7183" width="10.7109375" style="30" customWidth="1"/>
    <col min="7184" max="7184" width="12.7109375" style="30" customWidth="1"/>
    <col min="7185" max="7186" width="0" style="30" hidden="1" customWidth="1"/>
    <col min="7187" max="7430" width="9.140625" style="30"/>
    <col min="7431" max="7431" width="29.7109375" style="30" customWidth="1"/>
    <col min="7432" max="7432" width="12.7109375" style="30" customWidth="1"/>
    <col min="7433" max="7433" width="10.7109375" style="30" customWidth="1"/>
    <col min="7434" max="7434" width="12.7109375" style="30" customWidth="1"/>
    <col min="7435" max="7435" width="2.7109375" style="30" customWidth="1"/>
    <col min="7436" max="7436" width="29.7109375" style="30" customWidth="1"/>
    <col min="7437" max="7437" width="10.7109375" style="30" customWidth="1"/>
    <col min="7438" max="7438" width="12.7109375" style="30" customWidth="1"/>
    <col min="7439" max="7439" width="10.7109375" style="30" customWidth="1"/>
    <col min="7440" max="7440" width="12.7109375" style="30" customWidth="1"/>
    <col min="7441" max="7442" width="0" style="30" hidden="1" customWidth="1"/>
    <col min="7443" max="7686" width="9.140625" style="30"/>
    <col min="7687" max="7687" width="29.7109375" style="30" customWidth="1"/>
    <col min="7688" max="7688" width="12.7109375" style="30" customWidth="1"/>
    <col min="7689" max="7689" width="10.7109375" style="30" customWidth="1"/>
    <col min="7690" max="7690" width="12.7109375" style="30" customWidth="1"/>
    <col min="7691" max="7691" width="2.7109375" style="30" customWidth="1"/>
    <col min="7692" max="7692" width="29.7109375" style="30" customWidth="1"/>
    <col min="7693" max="7693" width="10.7109375" style="30" customWidth="1"/>
    <col min="7694" max="7694" width="12.7109375" style="30" customWidth="1"/>
    <col min="7695" max="7695" width="10.7109375" style="30" customWidth="1"/>
    <col min="7696" max="7696" width="12.7109375" style="30" customWidth="1"/>
    <col min="7697" max="7698" width="0" style="30" hidden="1" customWidth="1"/>
    <col min="7699" max="7942" width="9.140625" style="30"/>
    <col min="7943" max="7943" width="29.7109375" style="30" customWidth="1"/>
    <col min="7944" max="7944" width="12.7109375" style="30" customWidth="1"/>
    <col min="7945" max="7945" width="10.7109375" style="30" customWidth="1"/>
    <col min="7946" max="7946" width="12.7109375" style="30" customWidth="1"/>
    <col min="7947" max="7947" width="2.7109375" style="30" customWidth="1"/>
    <col min="7948" max="7948" width="29.7109375" style="30" customWidth="1"/>
    <col min="7949" max="7949" width="10.7109375" style="30" customWidth="1"/>
    <col min="7950" max="7950" width="12.7109375" style="30" customWidth="1"/>
    <col min="7951" max="7951" width="10.7109375" style="30" customWidth="1"/>
    <col min="7952" max="7952" width="12.7109375" style="30" customWidth="1"/>
    <col min="7953" max="7954" width="0" style="30" hidden="1" customWidth="1"/>
    <col min="7955" max="8198" width="9.140625" style="30"/>
    <col min="8199" max="8199" width="29.7109375" style="30" customWidth="1"/>
    <col min="8200" max="8200" width="12.7109375" style="30" customWidth="1"/>
    <col min="8201" max="8201" width="10.7109375" style="30" customWidth="1"/>
    <col min="8202" max="8202" width="12.7109375" style="30" customWidth="1"/>
    <col min="8203" max="8203" width="2.7109375" style="30" customWidth="1"/>
    <col min="8204" max="8204" width="29.7109375" style="30" customWidth="1"/>
    <col min="8205" max="8205" width="10.7109375" style="30" customWidth="1"/>
    <col min="8206" max="8206" width="12.7109375" style="30" customWidth="1"/>
    <col min="8207" max="8207" width="10.7109375" style="30" customWidth="1"/>
    <col min="8208" max="8208" width="12.7109375" style="30" customWidth="1"/>
    <col min="8209" max="8210" width="0" style="30" hidden="1" customWidth="1"/>
    <col min="8211" max="8454" width="9.140625" style="30"/>
    <col min="8455" max="8455" width="29.7109375" style="30" customWidth="1"/>
    <col min="8456" max="8456" width="12.7109375" style="30" customWidth="1"/>
    <col min="8457" max="8457" width="10.7109375" style="30" customWidth="1"/>
    <col min="8458" max="8458" width="12.7109375" style="30" customWidth="1"/>
    <col min="8459" max="8459" width="2.7109375" style="30" customWidth="1"/>
    <col min="8460" max="8460" width="29.7109375" style="30" customWidth="1"/>
    <col min="8461" max="8461" width="10.7109375" style="30" customWidth="1"/>
    <col min="8462" max="8462" width="12.7109375" style="30" customWidth="1"/>
    <col min="8463" max="8463" width="10.7109375" style="30" customWidth="1"/>
    <col min="8464" max="8464" width="12.7109375" style="30" customWidth="1"/>
    <col min="8465" max="8466" width="0" style="30" hidden="1" customWidth="1"/>
    <col min="8467" max="8710" width="9.140625" style="30"/>
    <col min="8711" max="8711" width="29.7109375" style="30" customWidth="1"/>
    <col min="8712" max="8712" width="12.7109375" style="30" customWidth="1"/>
    <col min="8713" max="8713" width="10.7109375" style="30" customWidth="1"/>
    <col min="8714" max="8714" width="12.7109375" style="30" customWidth="1"/>
    <col min="8715" max="8715" width="2.7109375" style="30" customWidth="1"/>
    <col min="8716" max="8716" width="29.7109375" style="30" customWidth="1"/>
    <col min="8717" max="8717" width="10.7109375" style="30" customWidth="1"/>
    <col min="8718" max="8718" width="12.7109375" style="30" customWidth="1"/>
    <col min="8719" max="8719" width="10.7109375" style="30" customWidth="1"/>
    <col min="8720" max="8720" width="12.7109375" style="30" customWidth="1"/>
    <col min="8721" max="8722" width="0" style="30" hidden="1" customWidth="1"/>
    <col min="8723" max="8966" width="9.140625" style="30"/>
    <col min="8967" max="8967" width="29.7109375" style="30" customWidth="1"/>
    <col min="8968" max="8968" width="12.7109375" style="30" customWidth="1"/>
    <col min="8969" max="8969" width="10.7109375" style="30" customWidth="1"/>
    <col min="8970" max="8970" width="12.7109375" style="30" customWidth="1"/>
    <col min="8971" max="8971" width="2.7109375" style="30" customWidth="1"/>
    <col min="8972" max="8972" width="29.7109375" style="30" customWidth="1"/>
    <col min="8973" max="8973" width="10.7109375" style="30" customWidth="1"/>
    <col min="8974" max="8974" width="12.7109375" style="30" customWidth="1"/>
    <col min="8975" max="8975" width="10.7109375" style="30" customWidth="1"/>
    <col min="8976" max="8976" width="12.7109375" style="30" customWidth="1"/>
    <col min="8977" max="8978" width="0" style="30" hidden="1" customWidth="1"/>
    <col min="8979" max="9222" width="9.140625" style="30"/>
    <col min="9223" max="9223" width="29.7109375" style="30" customWidth="1"/>
    <col min="9224" max="9224" width="12.7109375" style="30" customWidth="1"/>
    <col min="9225" max="9225" width="10.7109375" style="30" customWidth="1"/>
    <col min="9226" max="9226" width="12.7109375" style="30" customWidth="1"/>
    <col min="9227" max="9227" width="2.7109375" style="30" customWidth="1"/>
    <col min="9228" max="9228" width="29.7109375" style="30" customWidth="1"/>
    <col min="9229" max="9229" width="10.7109375" style="30" customWidth="1"/>
    <col min="9230" max="9230" width="12.7109375" style="30" customWidth="1"/>
    <col min="9231" max="9231" width="10.7109375" style="30" customWidth="1"/>
    <col min="9232" max="9232" width="12.7109375" style="30" customWidth="1"/>
    <col min="9233" max="9234" width="0" style="30" hidden="1" customWidth="1"/>
    <col min="9235" max="9478" width="9.140625" style="30"/>
    <col min="9479" max="9479" width="29.7109375" style="30" customWidth="1"/>
    <col min="9480" max="9480" width="12.7109375" style="30" customWidth="1"/>
    <col min="9481" max="9481" width="10.7109375" style="30" customWidth="1"/>
    <col min="9482" max="9482" width="12.7109375" style="30" customWidth="1"/>
    <col min="9483" max="9483" width="2.7109375" style="30" customWidth="1"/>
    <col min="9484" max="9484" width="29.7109375" style="30" customWidth="1"/>
    <col min="9485" max="9485" width="10.7109375" style="30" customWidth="1"/>
    <col min="9486" max="9486" width="12.7109375" style="30" customWidth="1"/>
    <col min="9487" max="9487" width="10.7109375" style="30" customWidth="1"/>
    <col min="9488" max="9488" width="12.7109375" style="30" customWidth="1"/>
    <col min="9489" max="9490" width="0" style="30" hidden="1" customWidth="1"/>
    <col min="9491" max="9734" width="9.140625" style="30"/>
    <col min="9735" max="9735" width="29.7109375" style="30" customWidth="1"/>
    <col min="9736" max="9736" width="12.7109375" style="30" customWidth="1"/>
    <col min="9737" max="9737" width="10.7109375" style="30" customWidth="1"/>
    <col min="9738" max="9738" width="12.7109375" style="30" customWidth="1"/>
    <col min="9739" max="9739" width="2.7109375" style="30" customWidth="1"/>
    <col min="9740" max="9740" width="29.7109375" style="30" customWidth="1"/>
    <col min="9741" max="9741" width="10.7109375" style="30" customWidth="1"/>
    <col min="9742" max="9742" width="12.7109375" style="30" customWidth="1"/>
    <col min="9743" max="9743" width="10.7109375" style="30" customWidth="1"/>
    <col min="9744" max="9744" width="12.7109375" style="30" customWidth="1"/>
    <col min="9745" max="9746" width="0" style="30" hidden="1" customWidth="1"/>
    <col min="9747" max="9990" width="9.140625" style="30"/>
    <col min="9991" max="9991" width="29.7109375" style="30" customWidth="1"/>
    <col min="9992" max="9992" width="12.7109375" style="30" customWidth="1"/>
    <col min="9993" max="9993" width="10.7109375" style="30" customWidth="1"/>
    <col min="9994" max="9994" width="12.7109375" style="30" customWidth="1"/>
    <col min="9995" max="9995" width="2.7109375" style="30" customWidth="1"/>
    <col min="9996" max="9996" width="29.7109375" style="30" customWidth="1"/>
    <col min="9997" max="9997" width="10.7109375" style="30" customWidth="1"/>
    <col min="9998" max="9998" width="12.7109375" style="30" customWidth="1"/>
    <col min="9999" max="9999" width="10.7109375" style="30" customWidth="1"/>
    <col min="10000" max="10000" width="12.7109375" style="30" customWidth="1"/>
    <col min="10001" max="10002" width="0" style="30" hidden="1" customWidth="1"/>
    <col min="10003" max="10246" width="9.140625" style="30"/>
    <col min="10247" max="10247" width="29.7109375" style="30" customWidth="1"/>
    <col min="10248" max="10248" width="12.7109375" style="30" customWidth="1"/>
    <col min="10249" max="10249" width="10.7109375" style="30" customWidth="1"/>
    <col min="10250" max="10250" width="12.7109375" style="30" customWidth="1"/>
    <col min="10251" max="10251" width="2.7109375" style="30" customWidth="1"/>
    <col min="10252" max="10252" width="29.7109375" style="30" customWidth="1"/>
    <col min="10253" max="10253" width="10.7109375" style="30" customWidth="1"/>
    <col min="10254" max="10254" width="12.7109375" style="30" customWidth="1"/>
    <col min="10255" max="10255" width="10.7109375" style="30" customWidth="1"/>
    <col min="10256" max="10256" width="12.7109375" style="30" customWidth="1"/>
    <col min="10257" max="10258" width="0" style="30" hidden="1" customWidth="1"/>
    <col min="10259" max="10502" width="9.140625" style="30"/>
    <col min="10503" max="10503" width="29.7109375" style="30" customWidth="1"/>
    <col min="10504" max="10504" width="12.7109375" style="30" customWidth="1"/>
    <col min="10505" max="10505" width="10.7109375" style="30" customWidth="1"/>
    <col min="10506" max="10506" width="12.7109375" style="30" customWidth="1"/>
    <col min="10507" max="10507" width="2.7109375" style="30" customWidth="1"/>
    <col min="10508" max="10508" width="29.7109375" style="30" customWidth="1"/>
    <col min="10509" max="10509" width="10.7109375" style="30" customWidth="1"/>
    <col min="10510" max="10510" width="12.7109375" style="30" customWidth="1"/>
    <col min="10511" max="10511" width="10.7109375" style="30" customWidth="1"/>
    <col min="10512" max="10512" width="12.7109375" style="30" customWidth="1"/>
    <col min="10513" max="10514" width="0" style="30" hidden="1" customWidth="1"/>
    <col min="10515" max="10758" width="9.140625" style="30"/>
    <col min="10759" max="10759" width="29.7109375" style="30" customWidth="1"/>
    <col min="10760" max="10760" width="12.7109375" style="30" customWidth="1"/>
    <col min="10761" max="10761" width="10.7109375" style="30" customWidth="1"/>
    <col min="10762" max="10762" width="12.7109375" style="30" customWidth="1"/>
    <col min="10763" max="10763" width="2.7109375" style="30" customWidth="1"/>
    <col min="10764" max="10764" width="29.7109375" style="30" customWidth="1"/>
    <col min="10765" max="10765" width="10.7109375" style="30" customWidth="1"/>
    <col min="10766" max="10766" width="12.7109375" style="30" customWidth="1"/>
    <col min="10767" max="10767" width="10.7109375" style="30" customWidth="1"/>
    <col min="10768" max="10768" width="12.7109375" style="30" customWidth="1"/>
    <col min="10769" max="10770" width="0" style="30" hidden="1" customWidth="1"/>
    <col min="10771" max="11014" width="9.140625" style="30"/>
    <col min="11015" max="11015" width="29.7109375" style="30" customWidth="1"/>
    <col min="11016" max="11016" width="12.7109375" style="30" customWidth="1"/>
    <col min="11017" max="11017" width="10.7109375" style="30" customWidth="1"/>
    <col min="11018" max="11018" width="12.7109375" style="30" customWidth="1"/>
    <col min="11019" max="11019" width="2.7109375" style="30" customWidth="1"/>
    <col min="11020" max="11020" width="29.7109375" style="30" customWidth="1"/>
    <col min="11021" max="11021" width="10.7109375" style="30" customWidth="1"/>
    <col min="11022" max="11022" width="12.7109375" style="30" customWidth="1"/>
    <col min="11023" max="11023" width="10.7109375" style="30" customWidth="1"/>
    <col min="11024" max="11024" width="12.7109375" style="30" customWidth="1"/>
    <col min="11025" max="11026" width="0" style="30" hidden="1" customWidth="1"/>
    <col min="11027" max="11270" width="9.140625" style="30"/>
    <col min="11271" max="11271" width="29.7109375" style="30" customWidth="1"/>
    <col min="11272" max="11272" width="12.7109375" style="30" customWidth="1"/>
    <col min="11273" max="11273" width="10.7109375" style="30" customWidth="1"/>
    <col min="11274" max="11274" width="12.7109375" style="30" customWidth="1"/>
    <col min="11275" max="11275" width="2.7109375" style="30" customWidth="1"/>
    <col min="11276" max="11276" width="29.7109375" style="30" customWidth="1"/>
    <col min="11277" max="11277" width="10.7109375" style="30" customWidth="1"/>
    <col min="11278" max="11278" width="12.7109375" style="30" customWidth="1"/>
    <col min="11279" max="11279" width="10.7109375" style="30" customWidth="1"/>
    <col min="11280" max="11280" width="12.7109375" style="30" customWidth="1"/>
    <col min="11281" max="11282" width="0" style="30" hidden="1" customWidth="1"/>
    <col min="11283" max="11526" width="9.140625" style="30"/>
    <col min="11527" max="11527" width="29.7109375" style="30" customWidth="1"/>
    <col min="11528" max="11528" width="12.7109375" style="30" customWidth="1"/>
    <col min="11529" max="11529" width="10.7109375" style="30" customWidth="1"/>
    <col min="11530" max="11530" width="12.7109375" style="30" customWidth="1"/>
    <col min="11531" max="11531" width="2.7109375" style="30" customWidth="1"/>
    <col min="11532" max="11532" width="29.7109375" style="30" customWidth="1"/>
    <col min="11533" max="11533" width="10.7109375" style="30" customWidth="1"/>
    <col min="11534" max="11534" width="12.7109375" style="30" customWidth="1"/>
    <col min="11535" max="11535" width="10.7109375" style="30" customWidth="1"/>
    <col min="11536" max="11536" width="12.7109375" style="30" customWidth="1"/>
    <col min="11537" max="11538" width="0" style="30" hidden="1" customWidth="1"/>
    <col min="11539" max="11782" width="9.140625" style="30"/>
    <col min="11783" max="11783" width="29.7109375" style="30" customWidth="1"/>
    <col min="11784" max="11784" width="12.7109375" style="30" customWidth="1"/>
    <col min="11785" max="11785" width="10.7109375" style="30" customWidth="1"/>
    <col min="11786" max="11786" width="12.7109375" style="30" customWidth="1"/>
    <col min="11787" max="11787" width="2.7109375" style="30" customWidth="1"/>
    <col min="11788" max="11788" width="29.7109375" style="30" customWidth="1"/>
    <col min="11789" max="11789" width="10.7109375" style="30" customWidth="1"/>
    <col min="11790" max="11790" width="12.7109375" style="30" customWidth="1"/>
    <col min="11791" max="11791" width="10.7109375" style="30" customWidth="1"/>
    <col min="11792" max="11792" width="12.7109375" style="30" customWidth="1"/>
    <col min="11793" max="11794" width="0" style="30" hidden="1" customWidth="1"/>
    <col min="11795" max="12038" width="9.140625" style="30"/>
    <col min="12039" max="12039" width="29.7109375" style="30" customWidth="1"/>
    <col min="12040" max="12040" width="12.7109375" style="30" customWidth="1"/>
    <col min="12041" max="12041" width="10.7109375" style="30" customWidth="1"/>
    <col min="12042" max="12042" width="12.7109375" style="30" customWidth="1"/>
    <col min="12043" max="12043" width="2.7109375" style="30" customWidth="1"/>
    <col min="12044" max="12044" width="29.7109375" style="30" customWidth="1"/>
    <col min="12045" max="12045" width="10.7109375" style="30" customWidth="1"/>
    <col min="12046" max="12046" width="12.7109375" style="30" customWidth="1"/>
    <col min="12047" max="12047" width="10.7109375" style="30" customWidth="1"/>
    <col min="12048" max="12048" width="12.7109375" style="30" customWidth="1"/>
    <col min="12049" max="12050" width="0" style="30" hidden="1" customWidth="1"/>
    <col min="12051" max="12294" width="9.140625" style="30"/>
    <col min="12295" max="12295" width="29.7109375" style="30" customWidth="1"/>
    <col min="12296" max="12296" width="12.7109375" style="30" customWidth="1"/>
    <col min="12297" max="12297" width="10.7109375" style="30" customWidth="1"/>
    <col min="12298" max="12298" width="12.7109375" style="30" customWidth="1"/>
    <col min="12299" max="12299" width="2.7109375" style="30" customWidth="1"/>
    <col min="12300" max="12300" width="29.7109375" style="30" customWidth="1"/>
    <col min="12301" max="12301" width="10.7109375" style="30" customWidth="1"/>
    <col min="12302" max="12302" width="12.7109375" style="30" customWidth="1"/>
    <col min="12303" max="12303" width="10.7109375" style="30" customWidth="1"/>
    <col min="12304" max="12304" width="12.7109375" style="30" customWidth="1"/>
    <col min="12305" max="12306" width="0" style="30" hidden="1" customWidth="1"/>
    <col min="12307" max="12550" width="9.140625" style="30"/>
    <col min="12551" max="12551" width="29.7109375" style="30" customWidth="1"/>
    <col min="12552" max="12552" width="12.7109375" style="30" customWidth="1"/>
    <col min="12553" max="12553" width="10.7109375" style="30" customWidth="1"/>
    <col min="12554" max="12554" width="12.7109375" style="30" customWidth="1"/>
    <col min="12555" max="12555" width="2.7109375" style="30" customWidth="1"/>
    <col min="12556" max="12556" width="29.7109375" style="30" customWidth="1"/>
    <col min="12557" max="12557" width="10.7109375" style="30" customWidth="1"/>
    <col min="12558" max="12558" width="12.7109375" style="30" customWidth="1"/>
    <col min="12559" max="12559" width="10.7109375" style="30" customWidth="1"/>
    <col min="12560" max="12560" width="12.7109375" style="30" customWidth="1"/>
    <col min="12561" max="12562" width="0" style="30" hidden="1" customWidth="1"/>
    <col min="12563" max="12806" width="9.140625" style="30"/>
    <col min="12807" max="12807" width="29.7109375" style="30" customWidth="1"/>
    <col min="12808" max="12808" width="12.7109375" style="30" customWidth="1"/>
    <col min="12809" max="12809" width="10.7109375" style="30" customWidth="1"/>
    <col min="12810" max="12810" width="12.7109375" style="30" customWidth="1"/>
    <col min="12811" max="12811" width="2.7109375" style="30" customWidth="1"/>
    <col min="12812" max="12812" width="29.7109375" style="30" customWidth="1"/>
    <col min="12813" max="12813" width="10.7109375" style="30" customWidth="1"/>
    <col min="12814" max="12814" width="12.7109375" style="30" customWidth="1"/>
    <col min="12815" max="12815" width="10.7109375" style="30" customWidth="1"/>
    <col min="12816" max="12816" width="12.7109375" style="30" customWidth="1"/>
    <col min="12817" max="12818" width="0" style="30" hidden="1" customWidth="1"/>
    <col min="12819" max="13062" width="9.140625" style="30"/>
    <col min="13063" max="13063" width="29.7109375" style="30" customWidth="1"/>
    <col min="13064" max="13064" width="12.7109375" style="30" customWidth="1"/>
    <col min="13065" max="13065" width="10.7109375" style="30" customWidth="1"/>
    <col min="13066" max="13066" width="12.7109375" style="30" customWidth="1"/>
    <col min="13067" max="13067" width="2.7109375" style="30" customWidth="1"/>
    <col min="13068" max="13068" width="29.7109375" style="30" customWidth="1"/>
    <col min="13069" max="13069" width="10.7109375" style="30" customWidth="1"/>
    <col min="13070" max="13070" width="12.7109375" style="30" customWidth="1"/>
    <col min="13071" max="13071" width="10.7109375" style="30" customWidth="1"/>
    <col min="13072" max="13072" width="12.7109375" style="30" customWidth="1"/>
    <col min="13073" max="13074" width="0" style="30" hidden="1" customWidth="1"/>
    <col min="13075" max="13318" width="9.140625" style="30"/>
    <col min="13319" max="13319" width="29.7109375" style="30" customWidth="1"/>
    <col min="13320" max="13320" width="12.7109375" style="30" customWidth="1"/>
    <col min="13321" max="13321" width="10.7109375" style="30" customWidth="1"/>
    <col min="13322" max="13322" width="12.7109375" style="30" customWidth="1"/>
    <col min="13323" max="13323" width="2.7109375" style="30" customWidth="1"/>
    <col min="13324" max="13324" width="29.7109375" style="30" customWidth="1"/>
    <col min="13325" max="13325" width="10.7109375" style="30" customWidth="1"/>
    <col min="13326" max="13326" width="12.7109375" style="30" customWidth="1"/>
    <col min="13327" max="13327" width="10.7109375" style="30" customWidth="1"/>
    <col min="13328" max="13328" width="12.7109375" style="30" customWidth="1"/>
    <col min="13329" max="13330" width="0" style="30" hidden="1" customWidth="1"/>
    <col min="13331" max="13574" width="9.140625" style="30"/>
    <col min="13575" max="13575" width="29.7109375" style="30" customWidth="1"/>
    <col min="13576" max="13576" width="12.7109375" style="30" customWidth="1"/>
    <col min="13577" max="13577" width="10.7109375" style="30" customWidth="1"/>
    <col min="13578" max="13578" width="12.7109375" style="30" customWidth="1"/>
    <col min="13579" max="13579" width="2.7109375" style="30" customWidth="1"/>
    <col min="13580" max="13580" width="29.7109375" style="30" customWidth="1"/>
    <col min="13581" max="13581" width="10.7109375" style="30" customWidth="1"/>
    <col min="13582" max="13582" width="12.7109375" style="30" customWidth="1"/>
    <col min="13583" max="13583" width="10.7109375" style="30" customWidth="1"/>
    <col min="13584" max="13584" width="12.7109375" style="30" customWidth="1"/>
    <col min="13585" max="13586" width="0" style="30" hidden="1" customWidth="1"/>
    <col min="13587" max="13830" width="9.140625" style="30"/>
    <col min="13831" max="13831" width="29.7109375" style="30" customWidth="1"/>
    <col min="13832" max="13832" width="12.7109375" style="30" customWidth="1"/>
    <col min="13833" max="13833" width="10.7109375" style="30" customWidth="1"/>
    <col min="13834" max="13834" width="12.7109375" style="30" customWidth="1"/>
    <col min="13835" max="13835" width="2.7109375" style="30" customWidth="1"/>
    <col min="13836" max="13836" width="29.7109375" style="30" customWidth="1"/>
    <col min="13837" max="13837" width="10.7109375" style="30" customWidth="1"/>
    <col min="13838" max="13838" width="12.7109375" style="30" customWidth="1"/>
    <col min="13839" max="13839" width="10.7109375" style="30" customWidth="1"/>
    <col min="13840" max="13840" width="12.7109375" style="30" customWidth="1"/>
    <col min="13841" max="13842" width="0" style="30" hidden="1" customWidth="1"/>
    <col min="13843" max="14086" width="9.140625" style="30"/>
    <col min="14087" max="14087" width="29.7109375" style="30" customWidth="1"/>
    <col min="14088" max="14088" width="12.7109375" style="30" customWidth="1"/>
    <col min="14089" max="14089" width="10.7109375" style="30" customWidth="1"/>
    <col min="14090" max="14090" width="12.7109375" style="30" customWidth="1"/>
    <col min="14091" max="14091" width="2.7109375" style="30" customWidth="1"/>
    <col min="14092" max="14092" width="29.7109375" style="30" customWidth="1"/>
    <col min="14093" max="14093" width="10.7109375" style="30" customWidth="1"/>
    <col min="14094" max="14094" width="12.7109375" style="30" customWidth="1"/>
    <col min="14095" max="14095" width="10.7109375" style="30" customWidth="1"/>
    <col min="14096" max="14096" width="12.7109375" style="30" customWidth="1"/>
    <col min="14097" max="14098" width="0" style="30" hidden="1" customWidth="1"/>
    <col min="14099" max="14342" width="9.140625" style="30"/>
    <col min="14343" max="14343" width="29.7109375" style="30" customWidth="1"/>
    <col min="14344" max="14344" width="12.7109375" style="30" customWidth="1"/>
    <col min="14345" max="14345" width="10.7109375" style="30" customWidth="1"/>
    <col min="14346" max="14346" width="12.7109375" style="30" customWidth="1"/>
    <col min="14347" max="14347" width="2.7109375" style="30" customWidth="1"/>
    <col min="14348" max="14348" width="29.7109375" style="30" customWidth="1"/>
    <col min="14349" max="14349" width="10.7109375" style="30" customWidth="1"/>
    <col min="14350" max="14350" width="12.7109375" style="30" customWidth="1"/>
    <col min="14351" max="14351" width="10.7109375" style="30" customWidth="1"/>
    <col min="14352" max="14352" width="12.7109375" style="30" customWidth="1"/>
    <col min="14353" max="14354" width="0" style="30" hidden="1" customWidth="1"/>
    <col min="14355" max="14598" width="9.140625" style="30"/>
    <col min="14599" max="14599" width="29.7109375" style="30" customWidth="1"/>
    <col min="14600" max="14600" width="12.7109375" style="30" customWidth="1"/>
    <col min="14601" max="14601" width="10.7109375" style="30" customWidth="1"/>
    <col min="14602" max="14602" width="12.7109375" style="30" customWidth="1"/>
    <col min="14603" max="14603" width="2.7109375" style="30" customWidth="1"/>
    <col min="14604" max="14604" width="29.7109375" style="30" customWidth="1"/>
    <col min="14605" max="14605" width="10.7109375" style="30" customWidth="1"/>
    <col min="14606" max="14606" width="12.7109375" style="30" customWidth="1"/>
    <col min="14607" max="14607" width="10.7109375" style="30" customWidth="1"/>
    <col min="14608" max="14608" width="12.7109375" style="30" customWidth="1"/>
    <col min="14609" max="14610" width="0" style="30" hidden="1" customWidth="1"/>
    <col min="14611" max="14854" width="9.140625" style="30"/>
    <col min="14855" max="14855" width="29.7109375" style="30" customWidth="1"/>
    <col min="14856" max="14856" width="12.7109375" style="30" customWidth="1"/>
    <col min="14857" max="14857" width="10.7109375" style="30" customWidth="1"/>
    <col min="14858" max="14858" width="12.7109375" style="30" customWidth="1"/>
    <col min="14859" max="14859" width="2.7109375" style="30" customWidth="1"/>
    <col min="14860" max="14860" width="29.7109375" style="30" customWidth="1"/>
    <col min="14861" max="14861" width="10.7109375" style="30" customWidth="1"/>
    <col min="14862" max="14862" width="12.7109375" style="30" customWidth="1"/>
    <col min="14863" max="14863" width="10.7109375" style="30" customWidth="1"/>
    <col min="14864" max="14864" width="12.7109375" style="30" customWidth="1"/>
    <col min="14865" max="14866" width="0" style="30" hidden="1" customWidth="1"/>
    <col min="14867" max="15110" width="9.140625" style="30"/>
    <col min="15111" max="15111" width="29.7109375" style="30" customWidth="1"/>
    <col min="15112" max="15112" width="12.7109375" style="30" customWidth="1"/>
    <col min="15113" max="15113" width="10.7109375" style="30" customWidth="1"/>
    <col min="15114" max="15114" width="12.7109375" style="30" customWidth="1"/>
    <col min="15115" max="15115" width="2.7109375" style="30" customWidth="1"/>
    <col min="15116" max="15116" width="29.7109375" style="30" customWidth="1"/>
    <col min="15117" max="15117" width="10.7109375" style="30" customWidth="1"/>
    <col min="15118" max="15118" width="12.7109375" style="30" customWidth="1"/>
    <col min="15119" max="15119" width="10.7109375" style="30" customWidth="1"/>
    <col min="15120" max="15120" width="12.7109375" style="30" customWidth="1"/>
    <col min="15121" max="15122" width="0" style="30" hidden="1" customWidth="1"/>
    <col min="15123" max="15366" width="9.140625" style="30"/>
    <col min="15367" max="15367" width="29.7109375" style="30" customWidth="1"/>
    <col min="15368" max="15368" width="12.7109375" style="30" customWidth="1"/>
    <col min="15369" max="15369" width="10.7109375" style="30" customWidth="1"/>
    <col min="15370" max="15370" width="12.7109375" style="30" customWidth="1"/>
    <col min="15371" max="15371" width="2.7109375" style="30" customWidth="1"/>
    <col min="15372" max="15372" width="29.7109375" style="30" customWidth="1"/>
    <col min="15373" max="15373" width="10.7109375" style="30" customWidth="1"/>
    <col min="15374" max="15374" width="12.7109375" style="30" customWidth="1"/>
    <col min="15375" max="15375" width="10.7109375" style="30" customWidth="1"/>
    <col min="15376" max="15376" width="12.7109375" style="30" customWidth="1"/>
    <col min="15377" max="15378" width="0" style="30" hidden="1" customWidth="1"/>
    <col min="15379" max="15622" width="9.140625" style="30"/>
    <col min="15623" max="15623" width="29.7109375" style="30" customWidth="1"/>
    <col min="15624" max="15624" width="12.7109375" style="30" customWidth="1"/>
    <col min="15625" max="15625" width="10.7109375" style="30" customWidth="1"/>
    <col min="15626" max="15626" width="12.7109375" style="30" customWidth="1"/>
    <col min="15627" max="15627" width="2.7109375" style="30" customWidth="1"/>
    <col min="15628" max="15628" width="29.7109375" style="30" customWidth="1"/>
    <col min="15629" max="15629" width="10.7109375" style="30" customWidth="1"/>
    <col min="15630" max="15630" width="12.7109375" style="30" customWidth="1"/>
    <col min="15631" max="15631" width="10.7109375" style="30" customWidth="1"/>
    <col min="15632" max="15632" width="12.7109375" style="30" customWidth="1"/>
    <col min="15633" max="15634" width="0" style="30" hidden="1" customWidth="1"/>
    <col min="15635" max="15878" width="9.140625" style="30"/>
    <col min="15879" max="15879" width="29.7109375" style="30" customWidth="1"/>
    <col min="15880" max="15880" width="12.7109375" style="30" customWidth="1"/>
    <col min="15881" max="15881" width="10.7109375" style="30" customWidth="1"/>
    <col min="15882" max="15882" width="12.7109375" style="30" customWidth="1"/>
    <col min="15883" max="15883" width="2.7109375" style="30" customWidth="1"/>
    <col min="15884" max="15884" width="29.7109375" style="30" customWidth="1"/>
    <col min="15885" max="15885" width="10.7109375" style="30" customWidth="1"/>
    <col min="15886" max="15886" width="12.7109375" style="30" customWidth="1"/>
    <col min="15887" max="15887" width="10.7109375" style="30" customWidth="1"/>
    <col min="15888" max="15888" width="12.7109375" style="30" customWidth="1"/>
    <col min="15889" max="15890" width="0" style="30" hidden="1" customWidth="1"/>
    <col min="15891" max="16134" width="9.140625" style="30"/>
    <col min="16135" max="16135" width="29.7109375" style="30" customWidth="1"/>
    <col min="16136" max="16136" width="12.7109375" style="30" customWidth="1"/>
    <col min="16137" max="16137" width="10.7109375" style="30" customWidth="1"/>
    <col min="16138" max="16138" width="12.7109375" style="30" customWidth="1"/>
    <col min="16139" max="16139" width="2.7109375" style="30" customWidth="1"/>
    <col min="16140" max="16140" width="29.7109375" style="30" customWidth="1"/>
    <col min="16141" max="16141" width="10.7109375" style="30" customWidth="1"/>
    <col min="16142" max="16142" width="12.7109375" style="30" customWidth="1"/>
    <col min="16143" max="16143" width="10.7109375" style="30" customWidth="1"/>
    <col min="16144" max="16144" width="12.7109375" style="30" customWidth="1"/>
    <col min="16145" max="16146" width="0" style="30" hidden="1" customWidth="1"/>
    <col min="16147" max="16384" width="9.140625" style="30"/>
  </cols>
  <sheetData>
    <row r="1" spans="1:25" ht="12" customHeight="1">
      <c r="B1" s="699" t="s">
        <v>382</v>
      </c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</row>
    <row r="2" spans="1:25" ht="12" customHeight="1">
      <c r="B2" s="283"/>
      <c r="C2" s="283"/>
      <c r="D2" s="283"/>
      <c r="E2" s="32"/>
      <c r="F2" s="33"/>
      <c r="G2" s="33" t="s">
        <v>383</v>
      </c>
      <c r="H2" s="217"/>
      <c r="I2" s="34"/>
      <c r="J2" s="700" t="s">
        <v>4</v>
      </c>
      <c r="K2" s="700"/>
      <c r="L2" s="700"/>
      <c r="M2" s="700"/>
      <c r="N2" s="700"/>
      <c r="O2" s="700"/>
      <c r="P2" s="700"/>
    </row>
    <row r="3" spans="1:25" ht="12" customHeight="1">
      <c r="B3" s="705" t="s">
        <v>252</v>
      </c>
      <c r="C3" s="705"/>
      <c r="D3" s="705"/>
      <c r="E3" s="705"/>
      <c r="G3" s="706" t="s">
        <v>252</v>
      </c>
      <c r="H3" s="706"/>
      <c r="I3" s="706"/>
      <c r="J3" s="706"/>
      <c r="K3" s="706"/>
      <c r="L3" s="305"/>
      <c r="M3" s="305"/>
      <c r="N3" s="305"/>
      <c r="O3" s="305"/>
      <c r="P3" s="305"/>
      <c r="Q3" s="305"/>
    </row>
    <row r="4" spans="1:25" ht="24.75" thickBot="1">
      <c r="A4" s="246" t="s">
        <v>296</v>
      </c>
      <c r="B4" s="245" t="s">
        <v>253</v>
      </c>
      <c r="C4" s="246" t="s">
        <v>246</v>
      </c>
      <c r="D4" s="246" t="s">
        <v>37</v>
      </c>
      <c r="E4" s="247" t="s">
        <v>247</v>
      </c>
      <c r="F4" s="36"/>
      <c r="G4" s="245" t="s">
        <v>38</v>
      </c>
      <c r="H4" s="246" t="s">
        <v>225</v>
      </c>
      <c r="I4" s="248" t="s">
        <v>32</v>
      </c>
      <c r="J4" s="248" t="s">
        <v>224</v>
      </c>
      <c r="K4" s="247" t="s">
        <v>40</v>
      </c>
      <c r="L4" s="265"/>
      <c r="M4" s="246" t="s">
        <v>254</v>
      </c>
      <c r="N4" s="246" t="s">
        <v>225</v>
      </c>
      <c r="O4" s="248" t="s">
        <v>32</v>
      </c>
      <c r="P4" s="247" t="s">
        <v>255</v>
      </c>
      <c r="Q4" s="248" t="s">
        <v>224</v>
      </c>
      <c r="R4" s="36"/>
      <c r="S4" s="36"/>
      <c r="T4" s="36"/>
      <c r="U4" s="36"/>
      <c r="V4" s="36"/>
      <c r="W4" s="36"/>
    </row>
    <row r="5" spans="1:25" ht="24.75" thickBot="1">
      <c r="A5" s="251">
        <v>1</v>
      </c>
      <c r="B5" s="220" t="s">
        <v>227</v>
      </c>
      <c r="C5" s="251">
        <v>8</v>
      </c>
      <c r="D5" s="249">
        <v>11.24</v>
      </c>
      <c r="E5" s="284">
        <f>C5*D5</f>
        <v>89.92</v>
      </c>
      <c r="G5" s="220" t="s">
        <v>218</v>
      </c>
      <c r="H5" s="251">
        <v>1</v>
      </c>
      <c r="I5" s="249">
        <v>424.16</v>
      </c>
      <c r="J5" s="249">
        <f>I5*H5</f>
        <v>424.16</v>
      </c>
      <c r="K5" s="250">
        <f t="shared" ref="K5:K11" si="0">J5/120</f>
        <v>3.5346666666666668</v>
      </c>
      <c r="L5" s="266"/>
      <c r="M5" s="220" t="s">
        <v>297</v>
      </c>
      <c r="N5" s="251">
        <v>10</v>
      </c>
      <c r="O5" s="249">
        <v>5.27</v>
      </c>
      <c r="P5" s="218">
        <f t="shared" ref="P5:P36" si="1">O5*N5</f>
        <v>52.699999999999996</v>
      </c>
      <c r="Q5" s="250">
        <f t="shared" ref="Q5:Q36" si="2">P5*12</f>
        <v>632.4</v>
      </c>
      <c r="R5" s="264"/>
      <c r="Y5" s="227"/>
    </row>
    <row r="6" spans="1:25" ht="24.75" thickBot="1">
      <c r="A6" s="251">
        <v>2</v>
      </c>
      <c r="B6" s="220" t="s">
        <v>293</v>
      </c>
      <c r="C6" s="251">
        <v>2</v>
      </c>
      <c r="D6" s="249">
        <v>8.7799999999999994</v>
      </c>
      <c r="E6" s="284">
        <f>D6*C6</f>
        <v>17.559999999999999</v>
      </c>
      <c r="G6" s="220" t="s">
        <v>222</v>
      </c>
      <c r="H6" s="251">
        <v>2</v>
      </c>
      <c r="I6" s="249">
        <v>117.09</v>
      </c>
      <c r="J6" s="249">
        <f>I6*H6</f>
        <v>234.18</v>
      </c>
      <c r="K6" s="250">
        <f t="shared" si="0"/>
        <v>1.9515</v>
      </c>
      <c r="L6" s="266"/>
      <c r="M6" s="220" t="s">
        <v>298</v>
      </c>
      <c r="N6" s="251">
        <v>40</v>
      </c>
      <c r="O6" s="249">
        <v>5.0199999999999996</v>
      </c>
      <c r="P6" s="218">
        <f t="shared" si="1"/>
        <v>200.79999999999998</v>
      </c>
      <c r="Q6" s="250">
        <f t="shared" si="2"/>
        <v>2409.6</v>
      </c>
      <c r="R6" s="264"/>
      <c r="Y6" s="228"/>
    </row>
    <row r="7" spans="1:25" ht="24.75" customHeight="1" thickBot="1">
      <c r="A7" s="251">
        <v>3</v>
      </c>
      <c r="B7" s="220" t="s">
        <v>275</v>
      </c>
      <c r="C7" s="251">
        <v>20</v>
      </c>
      <c r="D7" s="249">
        <v>15.79</v>
      </c>
      <c r="E7" s="284">
        <f>C7*D7</f>
        <v>315.79999999999995</v>
      </c>
      <c r="G7" s="220" t="s">
        <v>223</v>
      </c>
      <c r="H7" s="251">
        <v>6</v>
      </c>
      <c r="I7" s="249">
        <v>882.27</v>
      </c>
      <c r="J7" s="249">
        <f>I7*H7</f>
        <v>5293.62</v>
      </c>
      <c r="K7" s="250">
        <f t="shared" si="0"/>
        <v>44.113500000000002</v>
      </c>
      <c r="L7" s="266"/>
      <c r="M7" s="220" t="s">
        <v>309</v>
      </c>
      <c r="N7" s="251">
        <v>40</v>
      </c>
      <c r="O7" s="249">
        <v>4.5</v>
      </c>
      <c r="P7" s="218">
        <f t="shared" si="1"/>
        <v>180</v>
      </c>
      <c r="Q7" s="250">
        <f t="shared" si="2"/>
        <v>2160</v>
      </c>
      <c r="Y7" s="228"/>
    </row>
    <row r="8" spans="1:25" s="38" customFormat="1" ht="24.75" thickBot="1">
      <c r="A8" s="251">
        <v>4</v>
      </c>
      <c r="B8" s="220" t="s">
        <v>280</v>
      </c>
      <c r="C8" s="251">
        <v>30</v>
      </c>
      <c r="D8" s="249">
        <v>20.010000000000002</v>
      </c>
      <c r="E8" s="284">
        <f>C8*D8</f>
        <v>600.30000000000007</v>
      </c>
      <c r="F8" s="37"/>
      <c r="G8" s="220" t="s">
        <v>221</v>
      </c>
      <c r="H8" s="251">
        <v>1</v>
      </c>
      <c r="I8" s="249">
        <v>788.09</v>
      </c>
      <c r="J8" s="249">
        <f>H8*I8</f>
        <v>788.09</v>
      </c>
      <c r="K8" s="250">
        <f t="shared" si="0"/>
        <v>6.5674166666666673</v>
      </c>
      <c r="L8" s="266"/>
      <c r="M8" s="220" t="s">
        <v>299</v>
      </c>
      <c r="N8" s="251">
        <v>60</v>
      </c>
      <c r="O8" s="249">
        <v>3.02</v>
      </c>
      <c r="P8" s="218">
        <f t="shared" si="1"/>
        <v>181.2</v>
      </c>
      <c r="Q8" s="250">
        <f t="shared" si="2"/>
        <v>2174.3999999999996</v>
      </c>
      <c r="Y8" s="228"/>
    </row>
    <row r="9" spans="1:25" s="38" customFormat="1" ht="36.75" customHeight="1" thickBot="1">
      <c r="A9" s="251">
        <v>5</v>
      </c>
      <c r="B9" s="220" t="s">
        <v>281</v>
      </c>
      <c r="C9" s="251">
        <v>30</v>
      </c>
      <c r="D9" s="249">
        <v>2.96</v>
      </c>
      <c r="E9" s="284">
        <f>D9*C9</f>
        <v>88.8</v>
      </c>
      <c r="F9" s="37"/>
      <c r="G9" s="220" t="s">
        <v>256</v>
      </c>
      <c r="H9" s="251">
        <v>1</v>
      </c>
      <c r="I9" s="249">
        <v>8707.7800000000007</v>
      </c>
      <c r="J9" s="249">
        <f>I9*H9</f>
        <v>8707.7800000000007</v>
      </c>
      <c r="K9" s="250">
        <f t="shared" si="0"/>
        <v>72.56483333333334</v>
      </c>
      <c r="L9" s="266"/>
      <c r="M9" s="220" t="s">
        <v>300</v>
      </c>
      <c r="N9" s="251">
        <v>50</v>
      </c>
      <c r="O9" s="249">
        <v>4.01</v>
      </c>
      <c r="P9" s="218">
        <f t="shared" si="1"/>
        <v>200.5</v>
      </c>
      <c r="Q9" s="250">
        <f t="shared" si="2"/>
        <v>2406</v>
      </c>
      <c r="Y9" s="228"/>
    </row>
    <row r="10" spans="1:25" s="38" customFormat="1" ht="36.75" customHeight="1" thickBot="1">
      <c r="A10" s="251">
        <v>6</v>
      </c>
      <c r="B10" s="220" t="s">
        <v>229</v>
      </c>
      <c r="C10" s="251">
        <v>12</v>
      </c>
      <c r="D10" s="249">
        <v>156.36000000000001</v>
      </c>
      <c r="E10" s="284">
        <f>C10*D10</f>
        <v>1876.3200000000002</v>
      </c>
      <c r="F10" s="37"/>
      <c r="G10" s="220" t="s">
        <v>219</v>
      </c>
      <c r="H10" s="251">
        <v>1</v>
      </c>
      <c r="I10" s="249">
        <v>586.16999999999996</v>
      </c>
      <c r="J10" s="249">
        <f>I10*H10</f>
        <v>586.16999999999996</v>
      </c>
      <c r="K10" s="250">
        <f t="shared" si="0"/>
        <v>4.8847499999999995</v>
      </c>
      <c r="L10" s="266"/>
      <c r="M10" s="220" t="s">
        <v>303</v>
      </c>
      <c r="N10" s="251">
        <v>20</v>
      </c>
      <c r="O10" s="249">
        <v>0.4</v>
      </c>
      <c r="P10" s="218">
        <f t="shared" si="1"/>
        <v>8</v>
      </c>
      <c r="Q10" s="250">
        <f t="shared" si="2"/>
        <v>96</v>
      </c>
      <c r="Y10" s="228"/>
    </row>
    <row r="11" spans="1:25" s="38" customFormat="1" ht="42" customHeight="1" thickBot="1">
      <c r="A11" s="251">
        <v>7</v>
      </c>
      <c r="B11" s="220" t="s">
        <v>228</v>
      </c>
      <c r="C11" s="251">
        <v>20</v>
      </c>
      <c r="D11" s="249">
        <v>189.46</v>
      </c>
      <c r="E11" s="284">
        <f>C11*D11</f>
        <v>3789.2000000000003</v>
      </c>
      <c r="F11" s="37"/>
      <c r="G11" s="220" t="s">
        <v>220</v>
      </c>
      <c r="H11" s="251">
        <v>1</v>
      </c>
      <c r="I11" s="249">
        <v>843</v>
      </c>
      <c r="J11" s="249">
        <f>I11*H11</f>
        <v>843</v>
      </c>
      <c r="K11" s="250">
        <f t="shared" si="0"/>
        <v>7.0250000000000004</v>
      </c>
      <c r="L11" s="266"/>
      <c r="M11" s="220" t="s">
        <v>301</v>
      </c>
      <c r="N11" s="251">
        <v>120</v>
      </c>
      <c r="O11" s="249">
        <v>1.54</v>
      </c>
      <c r="P11" s="218">
        <f t="shared" si="1"/>
        <v>184.8</v>
      </c>
      <c r="Q11" s="250">
        <f t="shared" si="2"/>
        <v>2217.6000000000004</v>
      </c>
      <c r="Y11" s="229"/>
    </row>
    <row r="12" spans="1:25" s="38" customFormat="1" ht="24">
      <c r="A12" s="251">
        <v>8</v>
      </c>
      <c r="B12" s="220" t="s">
        <v>278</v>
      </c>
      <c r="C12" s="251">
        <v>200</v>
      </c>
      <c r="D12" s="249">
        <v>2.78</v>
      </c>
      <c r="E12" s="284">
        <f>C12*D12</f>
        <v>556</v>
      </c>
      <c r="F12" s="37"/>
      <c r="G12" s="220" t="s">
        <v>41</v>
      </c>
      <c r="H12" s="252" t="s">
        <v>96</v>
      </c>
      <c r="I12" s="253">
        <v>0</v>
      </c>
      <c r="J12" s="254">
        <v>0</v>
      </c>
      <c r="K12" s="255">
        <f t="shared" ref="K12:K36" si="3">IF(ISERR((H12*I12)/J12),0,(H12*I12)/J12)</f>
        <v>0</v>
      </c>
      <c r="L12" s="267"/>
      <c r="M12" s="220" t="s">
        <v>302</v>
      </c>
      <c r="N12" s="251">
        <v>12</v>
      </c>
      <c r="O12" s="249">
        <v>79.650000000000006</v>
      </c>
      <c r="P12" s="218">
        <f t="shared" si="1"/>
        <v>955.80000000000007</v>
      </c>
      <c r="Q12" s="250">
        <f t="shared" si="2"/>
        <v>11469.6</v>
      </c>
    </row>
    <row r="13" spans="1:25" s="38" customFormat="1">
      <c r="A13" s="251">
        <v>9</v>
      </c>
      <c r="B13" s="220" t="s">
        <v>279</v>
      </c>
      <c r="C13" s="251">
        <v>20</v>
      </c>
      <c r="D13" s="249">
        <v>19.41</v>
      </c>
      <c r="E13" s="284">
        <f>C13*D13</f>
        <v>388.2</v>
      </c>
      <c r="F13" s="37"/>
      <c r="G13" s="220" t="s">
        <v>41</v>
      </c>
      <c r="H13" s="256">
        <v>0</v>
      </c>
      <c r="I13" s="221">
        <v>0</v>
      </c>
      <c r="J13" s="218">
        <v>0</v>
      </c>
      <c r="K13" s="219">
        <f t="shared" si="3"/>
        <v>0</v>
      </c>
      <c r="L13" s="267"/>
      <c r="M13" s="220" t="s">
        <v>260</v>
      </c>
      <c r="N13" s="251">
        <v>50</v>
      </c>
      <c r="O13" s="249">
        <v>5.76</v>
      </c>
      <c r="P13" s="218">
        <f t="shared" si="1"/>
        <v>288</v>
      </c>
      <c r="Q13" s="250">
        <f t="shared" si="2"/>
        <v>3456</v>
      </c>
    </row>
    <row r="14" spans="1:25" s="38" customFormat="1" ht="36">
      <c r="A14" s="251">
        <v>10</v>
      </c>
      <c r="B14" s="220" t="s">
        <v>230</v>
      </c>
      <c r="C14" s="251">
        <v>4</v>
      </c>
      <c r="D14" s="249">
        <v>389.27</v>
      </c>
      <c r="E14" s="284">
        <f>C14*D14</f>
        <v>1557.08</v>
      </c>
      <c r="F14" s="37"/>
      <c r="G14" s="220" t="s">
        <v>41</v>
      </c>
      <c r="H14" s="256">
        <v>0</v>
      </c>
      <c r="I14" s="221">
        <v>0</v>
      </c>
      <c r="J14" s="218">
        <v>0</v>
      </c>
      <c r="K14" s="219">
        <f t="shared" si="3"/>
        <v>0</v>
      </c>
      <c r="L14" s="267"/>
      <c r="M14" s="220" t="s">
        <v>248</v>
      </c>
      <c r="N14" s="251">
        <v>7</v>
      </c>
      <c r="O14" s="249">
        <v>3.35</v>
      </c>
      <c r="P14" s="218">
        <f t="shared" si="1"/>
        <v>23.45</v>
      </c>
      <c r="Q14" s="250">
        <f t="shared" si="2"/>
        <v>281.39999999999998</v>
      </c>
    </row>
    <row r="15" spans="1:25" s="38" customFormat="1" ht="63" customHeight="1">
      <c r="A15" s="251">
        <v>11</v>
      </c>
      <c r="B15" s="220" t="s">
        <v>290</v>
      </c>
      <c r="C15" s="251">
        <v>2</v>
      </c>
      <c r="D15" s="249">
        <v>284.62</v>
      </c>
      <c r="E15" s="284">
        <f>D15*C15</f>
        <v>569.24</v>
      </c>
      <c r="F15" s="37"/>
      <c r="G15" s="220" t="s">
        <v>41</v>
      </c>
      <c r="H15" s="256">
        <v>0</v>
      </c>
      <c r="I15" s="221">
        <v>0</v>
      </c>
      <c r="J15" s="218">
        <v>0</v>
      </c>
      <c r="K15" s="219">
        <f t="shared" si="3"/>
        <v>0</v>
      </c>
      <c r="L15" s="267"/>
      <c r="M15" s="220" t="s">
        <v>312</v>
      </c>
      <c r="N15" s="251">
        <v>6</v>
      </c>
      <c r="O15" s="249">
        <v>2.85</v>
      </c>
      <c r="P15" s="218">
        <f t="shared" si="1"/>
        <v>17.100000000000001</v>
      </c>
      <c r="Q15" s="250">
        <f t="shared" si="2"/>
        <v>205.20000000000002</v>
      </c>
    </row>
    <row r="16" spans="1:25" s="38" customFormat="1" ht="24" customHeight="1">
      <c r="A16" s="251">
        <v>12</v>
      </c>
      <c r="B16" s="220" t="s">
        <v>231</v>
      </c>
      <c r="C16" s="251">
        <v>4</v>
      </c>
      <c r="D16" s="249">
        <v>3.78</v>
      </c>
      <c r="E16" s="284">
        <f>C16*D16</f>
        <v>15.12</v>
      </c>
      <c r="F16" s="37"/>
      <c r="G16" s="220" t="s">
        <v>41</v>
      </c>
      <c r="H16" s="256">
        <v>0</v>
      </c>
      <c r="I16" s="221">
        <v>0</v>
      </c>
      <c r="J16" s="218">
        <v>0</v>
      </c>
      <c r="K16" s="219">
        <f t="shared" si="3"/>
        <v>0</v>
      </c>
      <c r="L16" s="267"/>
      <c r="M16" s="220" t="s">
        <v>249</v>
      </c>
      <c r="N16" s="251">
        <v>6</v>
      </c>
      <c r="O16" s="249">
        <v>2.77</v>
      </c>
      <c r="P16" s="218">
        <f t="shared" si="1"/>
        <v>16.62</v>
      </c>
      <c r="Q16" s="250">
        <f t="shared" si="2"/>
        <v>199.44</v>
      </c>
    </row>
    <row r="17" spans="1:17" s="38" customFormat="1">
      <c r="A17" s="251">
        <v>13</v>
      </c>
      <c r="B17" s="220" t="s">
        <v>232</v>
      </c>
      <c r="C17" s="251">
        <v>4</v>
      </c>
      <c r="D17" s="249">
        <v>6.42</v>
      </c>
      <c r="E17" s="284">
        <f>C17*D17</f>
        <v>25.68</v>
      </c>
      <c r="F17" s="37"/>
      <c r="G17" s="220" t="s">
        <v>41</v>
      </c>
      <c r="H17" s="256">
        <v>0</v>
      </c>
      <c r="I17" s="221">
        <v>0</v>
      </c>
      <c r="J17" s="218">
        <v>0</v>
      </c>
      <c r="K17" s="219">
        <f t="shared" si="3"/>
        <v>0</v>
      </c>
      <c r="L17" s="267"/>
      <c r="M17" s="220" t="s">
        <v>310</v>
      </c>
      <c r="N17" s="251">
        <v>1</v>
      </c>
      <c r="O17" s="249">
        <v>12.06</v>
      </c>
      <c r="P17" s="218">
        <f t="shared" si="1"/>
        <v>12.06</v>
      </c>
      <c r="Q17" s="250">
        <f t="shared" si="2"/>
        <v>144.72</v>
      </c>
    </row>
    <row r="18" spans="1:17" s="38" customFormat="1">
      <c r="A18" s="251">
        <v>14</v>
      </c>
      <c r="B18" s="220" t="s">
        <v>233</v>
      </c>
      <c r="C18" s="251">
        <v>5</v>
      </c>
      <c r="D18" s="249">
        <v>30.72</v>
      </c>
      <c r="E18" s="284">
        <f>C18*D18</f>
        <v>153.6</v>
      </c>
      <c r="F18" s="37"/>
      <c r="G18" s="220" t="s">
        <v>41</v>
      </c>
      <c r="H18" s="256">
        <v>0</v>
      </c>
      <c r="I18" s="221">
        <v>0</v>
      </c>
      <c r="J18" s="218">
        <v>0</v>
      </c>
      <c r="K18" s="219">
        <f t="shared" si="3"/>
        <v>0</v>
      </c>
      <c r="L18" s="267"/>
      <c r="M18" s="220" t="s">
        <v>250</v>
      </c>
      <c r="N18" s="251">
        <v>3</v>
      </c>
      <c r="O18" s="249">
        <v>1.1599999999999999</v>
      </c>
      <c r="P18" s="218">
        <f t="shared" si="1"/>
        <v>3.4799999999999995</v>
      </c>
      <c r="Q18" s="250">
        <f t="shared" si="2"/>
        <v>41.759999999999991</v>
      </c>
    </row>
    <row r="19" spans="1:17" s="38" customFormat="1" ht="24">
      <c r="A19" s="251">
        <v>15</v>
      </c>
      <c r="B19" s="220" t="s">
        <v>234</v>
      </c>
      <c r="C19" s="251">
        <v>2</v>
      </c>
      <c r="D19" s="249">
        <v>152.63</v>
      </c>
      <c r="E19" s="284">
        <f>C19*D19</f>
        <v>305.26</v>
      </c>
      <c r="F19" s="37"/>
      <c r="G19" s="220" t="s">
        <v>41</v>
      </c>
      <c r="H19" s="256">
        <v>0</v>
      </c>
      <c r="I19" s="221">
        <v>0</v>
      </c>
      <c r="J19" s="218">
        <v>0</v>
      </c>
      <c r="K19" s="219">
        <f t="shared" si="3"/>
        <v>0</v>
      </c>
      <c r="L19" s="267"/>
      <c r="M19" s="220" t="s">
        <v>258</v>
      </c>
      <c r="N19" s="251">
        <v>20</v>
      </c>
      <c r="O19" s="249">
        <v>3.81</v>
      </c>
      <c r="P19" s="218">
        <f t="shared" si="1"/>
        <v>76.2</v>
      </c>
      <c r="Q19" s="250">
        <f t="shared" si="2"/>
        <v>914.40000000000009</v>
      </c>
    </row>
    <row r="20" spans="1:17" s="38" customFormat="1" ht="36">
      <c r="A20" s="251">
        <v>16</v>
      </c>
      <c r="B20" s="220" t="s">
        <v>273</v>
      </c>
      <c r="C20" s="251">
        <v>1</v>
      </c>
      <c r="D20" s="249">
        <v>23.37</v>
      </c>
      <c r="E20" s="284">
        <f>C20*D20</f>
        <v>23.37</v>
      </c>
      <c r="F20" s="37"/>
      <c r="G20" s="220" t="s">
        <v>41</v>
      </c>
      <c r="H20" s="256">
        <v>0</v>
      </c>
      <c r="I20" s="221">
        <v>0</v>
      </c>
      <c r="J20" s="218">
        <v>0</v>
      </c>
      <c r="K20" s="219">
        <f t="shared" si="3"/>
        <v>0</v>
      </c>
      <c r="L20" s="267"/>
      <c r="M20" s="220" t="s">
        <v>251</v>
      </c>
      <c r="N20" s="251">
        <v>24</v>
      </c>
      <c r="O20" s="249">
        <v>27.73</v>
      </c>
      <c r="P20" s="218">
        <f t="shared" si="1"/>
        <v>665.52</v>
      </c>
      <c r="Q20" s="250">
        <f t="shared" si="2"/>
        <v>7986.24</v>
      </c>
    </row>
    <row r="21" spans="1:17" s="38" customFormat="1" ht="48">
      <c r="A21" s="251">
        <v>17</v>
      </c>
      <c r="B21" s="220" t="s">
        <v>283</v>
      </c>
      <c r="C21" s="251">
        <v>20</v>
      </c>
      <c r="D21" s="249">
        <v>7.76</v>
      </c>
      <c r="E21" s="284">
        <f>D21*C21</f>
        <v>155.19999999999999</v>
      </c>
      <c r="F21" s="37"/>
      <c r="G21" s="220" t="s">
        <v>41</v>
      </c>
      <c r="H21" s="256">
        <v>0</v>
      </c>
      <c r="I21" s="221">
        <v>0</v>
      </c>
      <c r="J21" s="218">
        <v>0</v>
      </c>
      <c r="K21" s="219">
        <f t="shared" si="3"/>
        <v>0</v>
      </c>
      <c r="L21" s="267"/>
      <c r="M21" s="220" t="s">
        <v>304</v>
      </c>
      <c r="N21" s="251">
        <v>12</v>
      </c>
      <c r="O21" s="249">
        <v>6.69</v>
      </c>
      <c r="P21" s="218">
        <f t="shared" si="1"/>
        <v>80.28</v>
      </c>
      <c r="Q21" s="250">
        <f t="shared" si="2"/>
        <v>963.36</v>
      </c>
    </row>
    <row r="22" spans="1:17" s="38" customFormat="1" ht="24">
      <c r="A22" s="251">
        <v>18</v>
      </c>
      <c r="B22" s="220" t="s">
        <v>235</v>
      </c>
      <c r="C22" s="251">
        <v>20</v>
      </c>
      <c r="D22" s="249">
        <v>5.92</v>
      </c>
      <c r="E22" s="284">
        <f>C22*D22</f>
        <v>118.4</v>
      </c>
      <c r="F22" s="37"/>
      <c r="G22" s="220" t="s">
        <v>41</v>
      </c>
      <c r="H22" s="256">
        <v>0</v>
      </c>
      <c r="I22" s="221">
        <v>0</v>
      </c>
      <c r="J22" s="218">
        <v>0</v>
      </c>
      <c r="K22" s="219">
        <f t="shared" si="3"/>
        <v>0</v>
      </c>
      <c r="L22" s="267"/>
      <c r="M22" s="220" t="s">
        <v>261</v>
      </c>
      <c r="N22" s="251">
        <v>4</v>
      </c>
      <c r="O22" s="249">
        <v>4.92</v>
      </c>
      <c r="P22" s="218">
        <f t="shared" si="1"/>
        <v>19.68</v>
      </c>
      <c r="Q22" s="250">
        <f t="shared" si="2"/>
        <v>236.16</v>
      </c>
    </row>
    <row r="23" spans="1:17" s="38" customFormat="1">
      <c r="A23" s="251">
        <v>19</v>
      </c>
      <c r="B23" s="220" t="s">
        <v>268</v>
      </c>
      <c r="C23" s="251">
        <v>5</v>
      </c>
      <c r="D23" s="249">
        <v>2.83</v>
      </c>
      <c r="E23" s="284">
        <f>C23*D23</f>
        <v>14.15</v>
      </c>
      <c r="F23" s="37"/>
      <c r="G23" s="220" t="s">
        <v>41</v>
      </c>
      <c r="H23" s="256">
        <v>0</v>
      </c>
      <c r="I23" s="221">
        <v>0</v>
      </c>
      <c r="J23" s="218">
        <v>0</v>
      </c>
      <c r="K23" s="219">
        <f t="shared" si="3"/>
        <v>0</v>
      </c>
      <c r="L23" s="267"/>
      <c r="M23" s="220" t="s">
        <v>305</v>
      </c>
      <c r="N23" s="251">
        <v>10</v>
      </c>
      <c r="O23" s="249">
        <v>2.2999999999999998</v>
      </c>
      <c r="P23" s="218">
        <f t="shared" si="1"/>
        <v>23</v>
      </c>
      <c r="Q23" s="250">
        <f t="shared" si="2"/>
        <v>276</v>
      </c>
    </row>
    <row r="24" spans="1:17" s="38" customFormat="1" ht="36">
      <c r="A24" s="251">
        <v>20</v>
      </c>
      <c r="B24" s="220" t="s">
        <v>284</v>
      </c>
      <c r="C24" s="251">
        <v>2</v>
      </c>
      <c r="D24" s="249">
        <v>534.64</v>
      </c>
      <c r="E24" s="284">
        <f>D24*C24</f>
        <v>1069.28</v>
      </c>
      <c r="F24" s="37"/>
      <c r="G24" s="220" t="s">
        <v>41</v>
      </c>
      <c r="H24" s="256">
        <v>0</v>
      </c>
      <c r="I24" s="221">
        <v>0</v>
      </c>
      <c r="J24" s="218">
        <v>0</v>
      </c>
      <c r="K24" s="219">
        <f t="shared" si="3"/>
        <v>0</v>
      </c>
      <c r="L24" s="267"/>
      <c r="M24" s="220" t="s">
        <v>259</v>
      </c>
      <c r="N24" s="251">
        <v>12</v>
      </c>
      <c r="O24" s="249">
        <v>0.45</v>
      </c>
      <c r="P24" s="218">
        <f t="shared" si="1"/>
        <v>5.4</v>
      </c>
      <c r="Q24" s="250">
        <f t="shared" si="2"/>
        <v>64.800000000000011</v>
      </c>
    </row>
    <row r="25" spans="1:17" s="38" customFormat="1" ht="24">
      <c r="A25" s="251">
        <v>21</v>
      </c>
      <c r="B25" s="220" t="s">
        <v>294</v>
      </c>
      <c r="C25" s="251">
        <v>1</v>
      </c>
      <c r="D25" s="249">
        <v>21.76</v>
      </c>
      <c r="E25" s="284">
        <f>D25*C25</f>
        <v>21.76</v>
      </c>
      <c r="F25" s="37"/>
      <c r="G25" s="220" t="s">
        <v>41</v>
      </c>
      <c r="H25" s="256">
        <v>0</v>
      </c>
      <c r="I25" s="221">
        <v>0</v>
      </c>
      <c r="J25" s="218">
        <v>0</v>
      </c>
      <c r="K25" s="219">
        <f t="shared" si="3"/>
        <v>0</v>
      </c>
      <c r="L25" s="267"/>
      <c r="M25" s="220" t="s">
        <v>308</v>
      </c>
      <c r="N25" s="251">
        <v>10</v>
      </c>
      <c r="O25" s="249">
        <v>50.49</v>
      </c>
      <c r="P25" s="218">
        <f t="shared" si="1"/>
        <v>504.90000000000003</v>
      </c>
      <c r="Q25" s="250">
        <f t="shared" si="2"/>
        <v>6058.8</v>
      </c>
    </row>
    <row r="26" spans="1:17" s="38" customFormat="1" ht="24">
      <c r="A26" s="251">
        <v>22</v>
      </c>
      <c r="B26" s="220" t="s">
        <v>276</v>
      </c>
      <c r="C26" s="251">
        <v>1</v>
      </c>
      <c r="D26" s="249">
        <v>17.64</v>
      </c>
      <c r="E26" s="284">
        <f>C26*D26</f>
        <v>17.64</v>
      </c>
      <c r="F26" s="37"/>
      <c r="G26" s="220" t="s">
        <v>41</v>
      </c>
      <c r="H26" s="256">
        <v>0</v>
      </c>
      <c r="I26" s="221">
        <v>0</v>
      </c>
      <c r="J26" s="218">
        <v>0</v>
      </c>
      <c r="K26" s="219">
        <f t="shared" si="3"/>
        <v>0</v>
      </c>
      <c r="L26" s="267"/>
      <c r="M26" s="220" t="s">
        <v>306</v>
      </c>
      <c r="N26" s="251">
        <v>20</v>
      </c>
      <c r="O26" s="249">
        <v>5.18</v>
      </c>
      <c r="P26" s="218">
        <f t="shared" si="1"/>
        <v>103.6</v>
      </c>
      <c r="Q26" s="250">
        <f t="shared" si="2"/>
        <v>1243.1999999999998</v>
      </c>
    </row>
    <row r="27" spans="1:17" s="38" customFormat="1" ht="24">
      <c r="A27" s="251">
        <v>23</v>
      </c>
      <c r="B27" s="220" t="s">
        <v>267</v>
      </c>
      <c r="C27" s="251">
        <v>4</v>
      </c>
      <c r="D27" s="249">
        <v>33.229999999999997</v>
      </c>
      <c r="E27" s="284">
        <f>C27*D27</f>
        <v>132.91999999999999</v>
      </c>
      <c r="F27" s="37"/>
      <c r="G27" s="220" t="s">
        <v>41</v>
      </c>
      <c r="H27" s="256">
        <v>0</v>
      </c>
      <c r="I27" s="221">
        <v>0</v>
      </c>
      <c r="J27" s="218">
        <v>0</v>
      </c>
      <c r="K27" s="219">
        <f t="shared" si="3"/>
        <v>0</v>
      </c>
      <c r="L27" s="267"/>
      <c r="M27" s="220" t="s">
        <v>307</v>
      </c>
      <c r="N27" s="251">
        <v>15</v>
      </c>
      <c r="O27" s="249">
        <v>14.05</v>
      </c>
      <c r="P27" s="218">
        <f t="shared" si="1"/>
        <v>210.75</v>
      </c>
      <c r="Q27" s="250">
        <f t="shared" si="2"/>
        <v>2529</v>
      </c>
    </row>
    <row r="28" spans="1:17" s="38" customFormat="1">
      <c r="A28" s="251">
        <v>24</v>
      </c>
      <c r="B28" s="220" t="s">
        <v>236</v>
      </c>
      <c r="C28" s="251">
        <v>5</v>
      </c>
      <c r="D28" s="249">
        <v>8.6</v>
      </c>
      <c r="E28" s="284">
        <f>C28*D28</f>
        <v>43</v>
      </c>
      <c r="F28" s="37"/>
      <c r="G28" s="220" t="s">
        <v>41</v>
      </c>
      <c r="H28" s="256">
        <v>0</v>
      </c>
      <c r="I28" s="221">
        <v>0</v>
      </c>
      <c r="J28" s="218">
        <v>0</v>
      </c>
      <c r="K28" s="219">
        <f t="shared" si="3"/>
        <v>0</v>
      </c>
      <c r="L28" s="267"/>
      <c r="M28" s="220" t="s">
        <v>262</v>
      </c>
      <c r="N28" s="251">
        <v>5</v>
      </c>
      <c r="O28" s="249">
        <v>4.82</v>
      </c>
      <c r="P28" s="218">
        <f t="shared" si="1"/>
        <v>24.1</v>
      </c>
      <c r="Q28" s="250">
        <f t="shared" si="2"/>
        <v>289.20000000000005</v>
      </c>
    </row>
    <row r="29" spans="1:17" s="38" customFormat="1">
      <c r="A29" s="251">
        <v>25</v>
      </c>
      <c r="B29" s="220" t="s">
        <v>274</v>
      </c>
      <c r="C29" s="251">
        <v>10</v>
      </c>
      <c r="D29" s="249">
        <v>7.49</v>
      </c>
      <c r="E29" s="284">
        <f>C29*D29</f>
        <v>74.900000000000006</v>
      </c>
      <c r="F29" s="37"/>
      <c r="G29" s="220" t="s">
        <v>41</v>
      </c>
      <c r="H29" s="256">
        <v>0</v>
      </c>
      <c r="I29" s="221">
        <v>0</v>
      </c>
      <c r="J29" s="218">
        <v>0</v>
      </c>
      <c r="K29" s="219">
        <f t="shared" si="3"/>
        <v>0</v>
      </c>
      <c r="L29" s="267"/>
      <c r="M29" s="220" t="s">
        <v>311</v>
      </c>
      <c r="N29" s="251">
        <v>8</v>
      </c>
      <c r="O29" s="249">
        <v>111.53</v>
      </c>
      <c r="P29" s="218">
        <f t="shared" si="1"/>
        <v>892.24</v>
      </c>
      <c r="Q29" s="250">
        <f t="shared" si="2"/>
        <v>10706.880000000001</v>
      </c>
    </row>
    <row r="30" spans="1:17" s="38" customFormat="1">
      <c r="A30" s="251">
        <v>26</v>
      </c>
      <c r="B30" s="220" t="s">
        <v>282</v>
      </c>
      <c r="C30" s="251">
        <v>100</v>
      </c>
      <c r="D30" s="249">
        <v>32.119999999999997</v>
      </c>
      <c r="E30" s="284">
        <f>D30*C30</f>
        <v>3211.9999999999995</v>
      </c>
      <c r="F30" s="37"/>
      <c r="G30" s="220" t="s">
        <v>41</v>
      </c>
      <c r="H30" s="256">
        <v>0</v>
      </c>
      <c r="I30" s="221">
        <v>0</v>
      </c>
      <c r="J30" s="218">
        <v>0</v>
      </c>
      <c r="K30" s="219">
        <f t="shared" si="3"/>
        <v>0</v>
      </c>
      <c r="L30" s="267"/>
      <c r="M30" s="220" t="s">
        <v>41</v>
      </c>
      <c r="N30" s="251">
        <v>0</v>
      </c>
      <c r="O30" s="249">
        <v>0</v>
      </c>
      <c r="P30" s="218">
        <f t="shared" si="1"/>
        <v>0</v>
      </c>
      <c r="Q30" s="250">
        <f t="shared" si="2"/>
        <v>0</v>
      </c>
    </row>
    <row r="31" spans="1:17" s="38" customFormat="1">
      <c r="A31" s="251">
        <v>27</v>
      </c>
      <c r="B31" s="220" t="s">
        <v>269</v>
      </c>
      <c r="C31" s="251">
        <v>4</v>
      </c>
      <c r="D31" s="249">
        <v>135.83000000000001</v>
      </c>
      <c r="E31" s="284">
        <f>C31*D31</f>
        <v>543.32000000000005</v>
      </c>
      <c r="F31" s="37"/>
      <c r="G31" s="220" t="s">
        <v>41</v>
      </c>
      <c r="H31" s="256">
        <v>0</v>
      </c>
      <c r="I31" s="221">
        <v>0</v>
      </c>
      <c r="J31" s="218">
        <v>0</v>
      </c>
      <c r="K31" s="219">
        <f t="shared" si="3"/>
        <v>0</v>
      </c>
      <c r="L31" s="267"/>
      <c r="M31" s="220" t="s">
        <v>41</v>
      </c>
      <c r="N31" s="251">
        <v>0</v>
      </c>
      <c r="O31" s="249">
        <v>0</v>
      </c>
      <c r="P31" s="218">
        <f t="shared" si="1"/>
        <v>0</v>
      </c>
      <c r="Q31" s="250">
        <f t="shared" si="2"/>
        <v>0</v>
      </c>
    </row>
    <row r="32" spans="1:17" s="38" customFormat="1" ht="72">
      <c r="A32" s="251">
        <v>28</v>
      </c>
      <c r="B32" s="220" t="s">
        <v>291</v>
      </c>
      <c r="C32" s="251">
        <v>8</v>
      </c>
      <c r="D32" s="249">
        <v>71.400000000000006</v>
      </c>
      <c r="E32" s="284">
        <f>D32*C32</f>
        <v>571.20000000000005</v>
      </c>
      <c r="F32" s="37"/>
      <c r="G32" s="220" t="s">
        <v>41</v>
      </c>
      <c r="H32" s="256">
        <v>0</v>
      </c>
      <c r="I32" s="221">
        <v>0</v>
      </c>
      <c r="J32" s="218">
        <v>0</v>
      </c>
      <c r="K32" s="219">
        <f t="shared" si="3"/>
        <v>0</v>
      </c>
      <c r="L32" s="267"/>
      <c r="M32" s="220" t="s">
        <v>41</v>
      </c>
      <c r="N32" s="251">
        <v>0</v>
      </c>
      <c r="O32" s="221">
        <v>0</v>
      </c>
      <c r="P32" s="218">
        <f t="shared" si="1"/>
        <v>0</v>
      </c>
      <c r="Q32" s="250">
        <f t="shared" si="2"/>
        <v>0</v>
      </c>
    </row>
    <row r="33" spans="1:17" s="38" customFormat="1">
      <c r="A33" s="251">
        <v>29</v>
      </c>
      <c r="B33" s="220" t="s">
        <v>257</v>
      </c>
      <c r="C33" s="251">
        <v>3</v>
      </c>
      <c r="D33" s="249">
        <v>13.29</v>
      </c>
      <c r="E33" s="284">
        <f>C33*D33</f>
        <v>39.869999999999997</v>
      </c>
      <c r="F33" s="37"/>
      <c r="G33" s="220" t="s">
        <v>41</v>
      </c>
      <c r="H33" s="256">
        <v>0</v>
      </c>
      <c r="I33" s="221">
        <v>0</v>
      </c>
      <c r="J33" s="218">
        <v>0</v>
      </c>
      <c r="K33" s="219">
        <f t="shared" si="3"/>
        <v>0</v>
      </c>
      <c r="L33" s="267"/>
      <c r="M33" s="220" t="s">
        <v>41</v>
      </c>
      <c r="N33" s="256">
        <v>0</v>
      </c>
      <c r="O33" s="221">
        <v>0</v>
      </c>
      <c r="P33" s="218">
        <f t="shared" si="1"/>
        <v>0</v>
      </c>
      <c r="Q33" s="250">
        <f t="shared" si="2"/>
        <v>0</v>
      </c>
    </row>
    <row r="34" spans="1:17" s="38" customFormat="1">
      <c r="A34" s="251">
        <v>30</v>
      </c>
      <c r="B34" s="220" t="s">
        <v>277</v>
      </c>
      <c r="C34" s="251">
        <v>10</v>
      </c>
      <c r="D34" s="249">
        <v>3.38</v>
      </c>
      <c r="E34" s="284">
        <f>C34*D34</f>
        <v>33.799999999999997</v>
      </c>
      <c r="F34" s="37"/>
      <c r="G34" s="220" t="s">
        <v>41</v>
      </c>
      <c r="H34" s="256">
        <v>0</v>
      </c>
      <c r="I34" s="221">
        <v>0</v>
      </c>
      <c r="J34" s="218">
        <v>0</v>
      </c>
      <c r="K34" s="219">
        <f t="shared" si="3"/>
        <v>0</v>
      </c>
      <c r="L34" s="267"/>
      <c r="M34" s="220" t="s">
        <v>41</v>
      </c>
      <c r="N34" s="256">
        <v>0</v>
      </c>
      <c r="O34" s="221">
        <v>0</v>
      </c>
      <c r="P34" s="218">
        <f t="shared" si="1"/>
        <v>0</v>
      </c>
      <c r="Q34" s="250">
        <f t="shared" si="2"/>
        <v>0</v>
      </c>
    </row>
    <row r="35" spans="1:17" s="38" customFormat="1">
      <c r="A35" s="251">
        <v>31</v>
      </c>
      <c r="B35" s="220" t="s">
        <v>286</v>
      </c>
      <c r="C35" s="251">
        <v>5</v>
      </c>
      <c r="D35" s="249">
        <v>4.7699999999999996</v>
      </c>
      <c r="E35" s="284">
        <f>D35*C35</f>
        <v>23.849999999999998</v>
      </c>
      <c r="F35" s="37"/>
      <c r="G35" s="220" t="s">
        <v>41</v>
      </c>
      <c r="H35" s="256">
        <v>0</v>
      </c>
      <c r="I35" s="221">
        <v>0</v>
      </c>
      <c r="J35" s="218">
        <v>0</v>
      </c>
      <c r="K35" s="219">
        <f t="shared" si="3"/>
        <v>0</v>
      </c>
      <c r="L35" s="267"/>
      <c r="M35" s="220" t="s">
        <v>41</v>
      </c>
      <c r="N35" s="256">
        <v>0</v>
      </c>
      <c r="O35" s="221">
        <v>0</v>
      </c>
      <c r="P35" s="218">
        <f t="shared" si="1"/>
        <v>0</v>
      </c>
      <c r="Q35" s="250">
        <f t="shared" si="2"/>
        <v>0</v>
      </c>
    </row>
    <row r="36" spans="1:17" s="38" customFormat="1" ht="36">
      <c r="A36" s="251">
        <v>32</v>
      </c>
      <c r="B36" s="220" t="s">
        <v>285</v>
      </c>
      <c r="C36" s="251">
        <v>20</v>
      </c>
      <c r="D36" s="249">
        <v>31.74</v>
      </c>
      <c r="E36" s="284">
        <f>D36*C36</f>
        <v>634.79999999999995</v>
      </c>
      <c r="F36" s="37"/>
      <c r="G36" s="220" t="s">
        <v>41</v>
      </c>
      <c r="H36" s="256">
        <v>0</v>
      </c>
      <c r="I36" s="221">
        <v>0</v>
      </c>
      <c r="J36" s="218">
        <v>0</v>
      </c>
      <c r="K36" s="219">
        <f t="shared" si="3"/>
        <v>0</v>
      </c>
      <c r="L36" s="267"/>
      <c r="M36" s="220" t="s">
        <v>41</v>
      </c>
      <c r="N36" s="256">
        <v>0</v>
      </c>
      <c r="O36" s="221">
        <v>0</v>
      </c>
      <c r="P36" s="218">
        <f t="shared" si="1"/>
        <v>0</v>
      </c>
      <c r="Q36" s="250">
        <f t="shared" si="2"/>
        <v>0</v>
      </c>
    </row>
    <row r="37" spans="1:17" s="38" customFormat="1" ht="24">
      <c r="A37" s="251">
        <v>33</v>
      </c>
      <c r="B37" s="220" t="s">
        <v>237</v>
      </c>
      <c r="C37" s="251">
        <v>5</v>
      </c>
      <c r="D37" s="249">
        <v>24.44</v>
      </c>
      <c r="E37" s="284">
        <f>C37*D37</f>
        <v>122.2</v>
      </c>
      <c r="F37" s="37"/>
      <c r="G37" s="220" t="s">
        <v>41</v>
      </c>
      <c r="H37" s="256"/>
      <c r="I37" s="221"/>
      <c r="J37" s="218"/>
      <c r="K37" s="219"/>
      <c r="L37" s="267"/>
      <c r="M37" s="220" t="s">
        <v>41</v>
      </c>
      <c r="N37" s="256">
        <v>0</v>
      </c>
      <c r="O37" s="221">
        <v>0</v>
      </c>
      <c r="P37" s="218"/>
      <c r="Q37" s="268"/>
    </row>
    <row r="38" spans="1:17" s="38" customFormat="1" ht="24">
      <c r="A38" s="251">
        <v>34</v>
      </c>
      <c r="B38" s="220" t="s">
        <v>295</v>
      </c>
      <c r="C38" s="251">
        <v>5</v>
      </c>
      <c r="D38" s="249">
        <v>37.6</v>
      </c>
      <c r="E38" s="284">
        <f>D38*C38</f>
        <v>188</v>
      </c>
      <c r="F38" s="37"/>
      <c r="G38" s="220" t="s">
        <v>41</v>
      </c>
      <c r="H38" s="256">
        <v>0</v>
      </c>
      <c r="I38" s="221">
        <v>0</v>
      </c>
      <c r="J38" s="218">
        <v>0</v>
      </c>
      <c r="K38" s="219">
        <f t="shared" ref="K38:K67" si="4">IF(ISERR((H38*I38)/J38),0,(H38*I38)/J38)</f>
        <v>0</v>
      </c>
      <c r="L38" s="267"/>
      <c r="M38" s="220" t="s">
        <v>41</v>
      </c>
      <c r="N38" s="256">
        <v>0</v>
      </c>
      <c r="O38" s="221">
        <v>0</v>
      </c>
      <c r="P38" s="218">
        <f t="shared" ref="P38:P70" si="5">O38*N38</f>
        <v>0</v>
      </c>
      <c r="Q38" s="268"/>
    </row>
    <row r="39" spans="1:17" s="38" customFormat="1" ht="24">
      <c r="A39" s="251">
        <v>35</v>
      </c>
      <c r="B39" s="220" t="s">
        <v>238</v>
      </c>
      <c r="C39" s="251">
        <v>50</v>
      </c>
      <c r="D39" s="249">
        <v>3.95</v>
      </c>
      <c r="E39" s="284">
        <f>C39*D39</f>
        <v>197.5</v>
      </c>
      <c r="F39" s="37"/>
      <c r="G39" s="220" t="s">
        <v>41</v>
      </c>
      <c r="H39" s="256">
        <v>0</v>
      </c>
      <c r="I39" s="221">
        <v>0</v>
      </c>
      <c r="J39" s="218">
        <v>0</v>
      </c>
      <c r="K39" s="219">
        <f t="shared" si="4"/>
        <v>0</v>
      </c>
      <c r="L39" s="267"/>
      <c r="M39" s="220" t="s">
        <v>41</v>
      </c>
      <c r="N39" s="256">
        <v>0</v>
      </c>
      <c r="O39" s="221">
        <v>0</v>
      </c>
      <c r="P39" s="218">
        <f t="shared" si="5"/>
        <v>0</v>
      </c>
      <c r="Q39" s="268"/>
    </row>
    <row r="40" spans="1:17" s="38" customFormat="1">
      <c r="A40" s="251">
        <v>36</v>
      </c>
      <c r="B40" s="220" t="s">
        <v>239</v>
      </c>
      <c r="C40" s="251">
        <v>50</v>
      </c>
      <c r="D40" s="249">
        <v>4.91</v>
      </c>
      <c r="E40" s="284">
        <f>C40*D40</f>
        <v>245.5</v>
      </c>
      <c r="F40" s="37"/>
      <c r="G40" s="220" t="s">
        <v>41</v>
      </c>
      <c r="H40" s="256">
        <v>0</v>
      </c>
      <c r="I40" s="221">
        <v>0</v>
      </c>
      <c r="J40" s="218">
        <v>0</v>
      </c>
      <c r="K40" s="219">
        <f t="shared" si="4"/>
        <v>0</v>
      </c>
      <c r="L40" s="267"/>
      <c r="M40" s="220" t="s">
        <v>41</v>
      </c>
      <c r="N40" s="256">
        <v>0</v>
      </c>
      <c r="O40" s="221">
        <v>0</v>
      </c>
      <c r="P40" s="218">
        <f t="shared" si="5"/>
        <v>0</v>
      </c>
      <c r="Q40" s="268"/>
    </row>
    <row r="41" spans="1:17" s="38" customFormat="1">
      <c r="A41" s="251">
        <v>37</v>
      </c>
      <c r="B41" s="220" t="s">
        <v>270</v>
      </c>
      <c r="C41" s="251">
        <v>50</v>
      </c>
      <c r="D41" s="249">
        <v>9.75</v>
      </c>
      <c r="E41" s="284">
        <f>C41*D41</f>
        <v>487.5</v>
      </c>
      <c r="F41" s="37"/>
      <c r="G41" s="220" t="s">
        <v>41</v>
      </c>
      <c r="H41" s="256">
        <v>0</v>
      </c>
      <c r="I41" s="221">
        <v>0</v>
      </c>
      <c r="J41" s="218">
        <v>0</v>
      </c>
      <c r="K41" s="219">
        <f t="shared" si="4"/>
        <v>0</v>
      </c>
      <c r="L41" s="267"/>
      <c r="M41" s="220" t="s">
        <v>41</v>
      </c>
      <c r="N41" s="256">
        <v>0</v>
      </c>
      <c r="O41" s="221">
        <v>0</v>
      </c>
      <c r="P41" s="218">
        <f t="shared" si="5"/>
        <v>0</v>
      </c>
      <c r="Q41" s="268"/>
    </row>
    <row r="42" spans="1:17" s="38" customFormat="1" ht="48">
      <c r="A42" s="251">
        <v>38</v>
      </c>
      <c r="B42" s="304" t="s">
        <v>287</v>
      </c>
      <c r="C42" s="251">
        <v>30</v>
      </c>
      <c r="D42" s="249">
        <v>20.69</v>
      </c>
      <c r="E42" s="284">
        <f>D42*C42</f>
        <v>620.70000000000005</v>
      </c>
      <c r="F42" s="37"/>
      <c r="G42" s="220" t="s">
        <v>41</v>
      </c>
      <c r="H42" s="256">
        <v>0</v>
      </c>
      <c r="I42" s="221">
        <v>0</v>
      </c>
      <c r="J42" s="218">
        <v>0</v>
      </c>
      <c r="K42" s="219">
        <f t="shared" si="4"/>
        <v>0</v>
      </c>
      <c r="L42" s="267"/>
      <c r="M42" s="220" t="s">
        <v>41</v>
      </c>
      <c r="N42" s="256">
        <v>0</v>
      </c>
      <c r="O42" s="221">
        <v>0</v>
      </c>
      <c r="P42" s="218">
        <f t="shared" si="5"/>
        <v>0</v>
      </c>
      <c r="Q42" s="268"/>
    </row>
    <row r="43" spans="1:17" s="38" customFormat="1" ht="60">
      <c r="A43" s="251">
        <v>39</v>
      </c>
      <c r="B43" s="220" t="s">
        <v>272</v>
      </c>
      <c r="C43" s="251">
        <v>40</v>
      </c>
      <c r="D43" s="249">
        <v>19.45</v>
      </c>
      <c r="E43" s="284">
        <f>C43*D43</f>
        <v>778</v>
      </c>
      <c r="F43" s="37"/>
      <c r="G43" s="220" t="s">
        <v>41</v>
      </c>
      <c r="H43" s="256">
        <v>0</v>
      </c>
      <c r="I43" s="221">
        <v>0</v>
      </c>
      <c r="J43" s="218">
        <v>0</v>
      </c>
      <c r="K43" s="219">
        <f t="shared" si="4"/>
        <v>0</v>
      </c>
      <c r="L43" s="267"/>
      <c r="M43" s="220" t="s">
        <v>41</v>
      </c>
      <c r="N43" s="256">
        <v>0</v>
      </c>
      <c r="O43" s="221">
        <v>0</v>
      </c>
      <c r="P43" s="218">
        <f t="shared" si="5"/>
        <v>0</v>
      </c>
      <c r="Q43" s="268"/>
    </row>
    <row r="44" spans="1:17" s="38" customFormat="1" ht="36">
      <c r="A44" s="251">
        <v>40</v>
      </c>
      <c r="B44" s="220" t="s">
        <v>271</v>
      </c>
      <c r="C44" s="251">
        <v>130</v>
      </c>
      <c r="D44" s="249">
        <v>23.28</v>
      </c>
      <c r="E44" s="284">
        <f>C44*D44</f>
        <v>3026.4</v>
      </c>
      <c r="F44" s="37"/>
      <c r="G44" s="220" t="s">
        <v>41</v>
      </c>
      <c r="H44" s="256">
        <v>0</v>
      </c>
      <c r="I44" s="221">
        <v>0</v>
      </c>
      <c r="J44" s="218">
        <v>0</v>
      </c>
      <c r="K44" s="219">
        <f t="shared" si="4"/>
        <v>0</v>
      </c>
      <c r="L44" s="267"/>
      <c r="M44" s="220" t="s">
        <v>41</v>
      </c>
      <c r="N44" s="256">
        <v>0</v>
      </c>
      <c r="O44" s="221">
        <v>0</v>
      </c>
      <c r="P44" s="218">
        <f t="shared" si="5"/>
        <v>0</v>
      </c>
      <c r="Q44" s="268"/>
    </row>
    <row r="45" spans="1:17" s="38" customFormat="1" ht="24">
      <c r="A45" s="251">
        <v>41</v>
      </c>
      <c r="B45" s="220" t="s">
        <v>288</v>
      </c>
      <c r="C45" s="251">
        <v>2</v>
      </c>
      <c r="D45" s="249">
        <v>21.99</v>
      </c>
      <c r="E45" s="284">
        <f>D45*C45</f>
        <v>43.98</v>
      </c>
      <c r="F45" s="37"/>
      <c r="G45" s="220" t="s">
        <v>41</v>
      </c>
      <c r="H45" s="256">
        <v>0</v>
      </c>
      <c r="I45" s="221">
        <v>0</v>
      </c>
      <c r="J45" s="218">
        <v>0</v>
      </c>
      <c r="K45" s="219">
        <f t="shared" si="4"/>
        <v>0</v>
      </c>
      <c r="L45" s="267"/>
      <c r="M45" s="220" t="s">
        <v>41</v>
      </c>
      <c r="N45" s="256">
        <v>0</v>
      </c>
      <c r="O45" s="221">
        <v>0</v>
      </c>
      <c r="P45" s="218">
        <f t="shared" si="5"/>
        <v>0</v>
      </c>
      <c r="Q45" s="268"/>
    </row>
    <row r="46" spans="1:17" s="38" customFormat="1">
      <c r="A46" s="251">
        <v>42</v>
      </c>
      <c r="B46" s="220" t="s">
        <v>240</v>
      </c>
      <c r="C46" s="251">
        <v>2</v>
      </c>
      <c r="D46" s="249">
        <v>31.64</v>
      </c>
      <c r="E46" s="284">
        <f>C46*D46</f>
        <v>63.28</v>
      </c>
      <c r="F46" s="37"/>
      <c r="G46" s="220" t="s">
        <v>41</v>
      </c>
      <c r="H46" s="256">
        <v>0</v>
      </c>
      <c r="I46" s="221">
        <v>0</v>
      </c>
      <c r="J46" s="218">
        <v>0</v>
      </c>
      <c r="K46" s="219">
        <f t="shared" si="4"/>
        <v>0</v>
      </c>
      <c r="L46" s="267"/>
      <c r="M46" s="220" t="s">
        <v>41</v>
      </c>
      <c r="N46" s="256">
        <v>0</v>
      </c>
      <c r="O46" s="221">
        <v>0</v>
      </c>
      <c r="P46" s="218">
        <f t="shared" si="5"/>
        <v>0</v>
      </c>
      <c r="Q46" s="268"/>
    </row>
    <row r="47" spans="1:17" s="38" customFormat="1">
      <c r="A47" s="251">
        <v>43</v>
      </c>
      <c r="B47" s="220" t="s">
        <v>292</v>
      </c>
      <c r="C47" s="251">
        <v>30</v>
      </c>
      <c r="D47" s="249">
        <v>14.11</v>
      </c>
      <c r="E47" s="284">
        <f>D47*C47</f>
        <v>423.29999999999995</v>
      </c>
      <c r="F47" s="37"/>
      <c r="G47" s="220" t="s">
        <v>41</v>
      </c>
      <c r="H47" s="256">
        <v>0</v>
      </c>
      <c r="I47" s="221">
        <v>0</v>
      </c>
      <c r="J47" s="218">
        <v>0</v>
      </c>
      <c r="K47" s="219">
        <f t="shared" si="4"/>
        <v>0</v>
      </c>
      <c r="L47" s="267"/>
      <c r="M47" s="220" t="s">
        <v>41</v>
      </c>
      <c r="N47" s="256">
        <v>0</v>
      </c>
      <c r="O47" s="221">
        <v>0</v>
      </c>
      <c r="P47" s="218">
        <f t="shared" si="5"/>
        <v>0</v>
      </c>
      <c r="Q47" s="268"/>
    </row>
    <row r="48" spans="1:17" s="38" customFormat="1">
      <c r="A48" s="251">
        <v>44</v>
      </c>
      <c r="B48" s="220" t="s">
        <v>289</v>
      </c>
      <c r="C48" s="251">
        <v>100</v>
      </c>
      <c r="D48" s="249">
        <v>7.77</v>
      </c>
      <c r="E48" s="284">
        <f>D48*C48</f>
        <v>777</v>
      </c>
      <c r="F48" s="37"/>
      <c r="G48" s="220" t="s">
        <v>41</v>
      </c>
      <c r="H48" s="256">
        <v>0</v>
      </c>
      <c r="I48" s="221">
        <v>0</v>
      </c>
      <c r="J48" s="218">
        <v>0</v>
      </c>
      <c r="K48" s="219">
        <f t="shared" si="4"/>
        <v>0</v>
      </c>
      <c r="L48" s="267"/>
      <c r="M48" s="220" t="s">
        <v>41</v>
      </c>
      <c r="N48" s="256">
        <v>0</v>
      </c>
      <c r="O48" s="221">
        <v>0</v>
      </c>
      <c r="P48" s="218">
        <f t="shared" si="5"/>
        <v>0</v>
      </c>
      <c r="Q48" s="268"/>
    </row>
    <row r="49" spans="1:17" s="38" customFormat="1" ht="24">
      <c r="A49" s="251">
        <v>45</v>
      </c>
      <c r="B49" s="220" t="s">
        <v>242</v>
      </c>
      <c r="C49" s="251">
        <v>40</v>
      </c>
      <c r="D49" s="249">
        <v>6.81</v>
      </c>
      <c r="E49" s="284">
        <f>C49*D49</f>
        <v>272.39999999999998</v>
      </c>
      <c r="F49" s="37"/>
      <c r="G49" s="220" t="s">
        <v>41</v>
      </c>
      <c r="H49" s="256">
        <v>0</v>
      </c>
      <c r="I49" s="221">
        <v>0</v>
      </c>
      <c r="J49" s="218">
        <v>0</v>
      </c>
      <c r="K49" s="219">
        <f t="shared" si="4"/>
        <v>0</v>
      </c>
      <c r="L49" s="267"/>
      <c r="M49" s="220" t="s">
        <v>41</v>
      </c>
      <c r="N49" s="256">
        <v>0</v>
      </c>
      <c r="O49" s="221">
        <v>0</v>
      </c>
      <c r="P49" s="218">
        <f t="shared" si="5"/>
        <v>0</v>
      </c>
      <c r="Q49" s="268"/>
    </row>
    <row r="50" spans="1:17" s="38" customFormat="1">
      <c r="A50" s="251">
        <v>46</v>
      </c>
      <c r="B50" s="220" t="s">
        <v>241</v>
      </c>
      <c r="C50" s="251">
        <v>40</v>
      </c>
      <c r="D50" s="249">
        <v>14.59</v>
      </c>
      <c r="E50" s="284">
        <f>C50*D50</f>
        <v>583.6</v>
      </c>
      <c r="F50" s="37"/>
      <c r="G50" s="220" t="s">
        <v>41</v>
      </c>
      <c r="H50" s="256">
        <v>0</v>
      </c>
      <c r="I50" s="221">
        <v>0</v>
      </c>
      <c r="J50" s="218">
        <v>0</v>
      </c>
      <c r="K50" s="219">
        <f t="shared" si="4"/>
        <v>0</v>
      </c>
      <c r="L50" s="267"/>
      <c r="M50" s="220" t="s">
        <v>41</v>
      </c>
      <c r="N50" s="256">
        <v>0</v>
      </c>
      <c r="O50" s="221">
        <v>0</v>
      </c>
      <c r="P50" s="218">
        <f t="shared" si="5"/>
        <v>0</v>
      </c>
      <c r="Q50" s="268"/>
    </row>
    <row r="51" spans="1:17" s="38" customFormat="1">
      <c r="A51" s="251">
        <v>47</v>
      </c>
      <c r="B51" s="220" t="s">
        <v>243</v>
      </c>
      <c r="C51" s="251">
        <v>20</v>
      </c>
      <c r="D51" s="249">
        <v>8.81</v>
      </c>
      <c r="E51" s="284">
        <f>C51*D51</f>
        <v>176.20000000000002</v>
      </c>
      <c r="F51" s="37"/>
      <c r="G51" s="220" t="s">
        <v>41</v>
      </c>
      <c r="H51" s="256">
        <v>0</v>
      </c>
      <c r="I51" s="221">
        <v>0</v>
      </c>
      <c r="J51" s="218">
        <v>0</v>
      </c>
      <c r="K51" s="219">
        <f t="shared" si="4"/>
        <v>0</v>
      </c>
      <c r="L51" s="267"/>
      <c r="M51" s="220" t="s">
        <v>41</v>
      </c>
      <c r="N51" s="256">
        <v>0</v>
      </c>
      <c r="O51" s="221">
        <v>0</v>
      </c>
      <c r="P51" s="218">
        <f t="shared" si="5"/>
        <v>0</v>
      </c>
      <c r="Q51" s="268"/>
    </row>
    <row r="52" spans="1:17" s="38" customFormat="1">
      <c r="A52" s="251">
        <v>48</v>
      </c>
      <c r="B52" s="220" t="s">
        <v>244</v>
      </c>
      <c r="C52" s="251">
        <v>20</v>
      </c>
      <c r="D52" s="249">
        <v>4</v>
      </c>
      <c r="E52" s="284">
        <f>C52*D52</f>
        <v>80</v>
      </c>
      <c r="F52" s="37"/>
      <c r="G52" s="220" t="s">
        <v>41</v>
      </c>
      <c r="H52" s="256">
        <v>0</v>
      </c>
      <c r="I52" s="221">
        <v>0</v>
      </c>
      <c r="J52" s="218">
        <v>0</v>
      </c>
      <c r="K52" s="219">
        <f t="shared" si="4"/>
        <v>0</v>
      </c>
      <c r="L52" s="267"/>
      <c r="M52" s="220" t="s">
        <v>41</v>
      </c>
      <c r="N52" s="256">
        <v>0</v>
      </c>
      <c r="O52" s="221">
        <v>0</v>
      </c>
      <c r="P52" s="218">
        <f t="shared" si="5"/>
        <v>0</v>
      </c>
      <c r="Q52" s="268"/>
    </row>
    <row r="53" spans="1:17" s="38" customFormat="1">
      <c r="A53" s="251"/>
      <c r="B53" s="220" t="s">
        <v>41</v>
      </c>
      <c r="C53" s="218">
        <v>0</v>
      </c>
      <c r="D53" s="257">
        <v>0</v>
      </c>
      <c r="E53" s="268">
        <f t="shared" ref="E53:E70" si="6">D53*C53</f>
        <v>0</v>
      </c>
      <c r="F53" s="37"/>
      <c r="G53" s="220" t="s">
        <v>41</v>
      </c>
      <c r="H53" s="256">
        <v>0</v>
      </c>
      <c r="I53" s="221">
        <v>0</v>
      </c>
      <c r="J53" s="218">
        <v>0</v>
      </c>
      <c r="K53" s="219">
        <f t="shared" si="4"/>
        <v>0</v>
      </c>
      <c r="L53" s="267"/>
      <c r="M53" s="220" t="s">
        <v>41</v>
      </c>
      <c r="N53" s="256">
        <v>0</v>
      </c>
      <c r="O53" s="221">
        <v>0</v>
      </c>
      <c r="P53" s="218">
        <f t="shared" si="5"/>
        <v>0</v>
      </c>
      <c r="Q53" s="268"/>
    </row>
    <row r="54" spans="1:17" s="38" customFormat="1">
      <c r="A54" s="251"/>
      <c r="B54" s="220" t="s">
        <v>41</v>
      </c>
      <c r="C54" s="218">
        <v>0</v>
      </c>
      <c r="D54" s="257">
        <v>0</v>
      </c>
      <c r="E54" s="268">
        <f t="shared" si="6"/>
        <v>0</v>
      </c>
      <c r="F54" s="37"/>
      <c r="G54" s="220" t="s">
        <v>41</v>
      </c>
      <c r="H54" s="256">
        <v>0</v>
      </c>
      <c r="I54" s="221">
        <v>0</v>
      </c>
      <c r="J54" s="218">
        <v>0</v>
      </c>
      <c r="K54" s="219">
        <f t="shared" si="4"/>
        <v>0</v>
      </c>
      <c r="L54" s="267"/>
      <c r="M54" s="220" t="s">
        <v>41</v>
      </c>
      <c r="N54" s="218">
        <v>0</v>
      </c>
      <c r="O54" s="257">
        <v>0</v>
      </c>
      <c r="P54" s="218">
        <f t="shared" si="5"/>
        <v>0</v>
      </c>
      <c r="Q54" s="268"/>
    </row>
    <row r="55" spans="1:17" s="38" customFormat="1">
      <c r="A55" s="251"/>
      <c r="B55" s="220" t="s">
        <v>41</v>
      </c>
      <c r="C55" s="218">
        <v>0</v>
      </c>
      <c r="D55" s="257">
        <v>0</v>
      </c>
      <c r="E55" s="268">
        <f t="shared" si="6"/>
        <v>0</v>
      </c>
      <c r="F55" s="37"/>
      <c r="G55" s="220" t="s">
        <v>41</v>
      </c>
      <c r="H55" s="256">
        <v>0</v>
      </c>
      <c r="I55" s="221">
        <v>0</v>
      </c>
      <c r="J55" s="218">
        <v>0</v>
      </c>
      <c r="K55" s="219">
        <f t="shared" si="4"/>
        <v>0</v>
      </c>
      <c r="L55" s="267"/>
      <c r="M55" s="220" t="s">
        <v>41</v>
      </c>
      <c r="N55" s="218">
        <v>0</v>
      </c>
      <c r="O55" s="257">
        <v>0</v>
      </c>
      <c r="P55" s="218">
        <f t="shared" si="5"/>
        <v>0</v>
      </c>
      <c r="Q55" s="268"/>
    </row>
    <row r="56" spans="1:17" s="38" customFormat="1">
      <c r="A56" s="251"/>
      <c r="B56" s="220" t="s">
        <v>41</v>
      </c>
      <c r="C56" s="218">
        <v>0</v>
      </c>
      <c r="D56" s="257">
        <v>0</v>
      </c>
      <c r="E56" s="268">
        <f t="shared" si="6"/>
        <v>0</v>
      </c>
      <c r="F56" s="37"/>
      <c r="G56" s="220" t="s">
        <v>41</v>
      </c>
      <c r="H56" s="256">
        <v>0</v>
      </c>
      <c r="I56" s="221">
        <v>0</v>
      </c>
      <c r="J56" s="218">
        <v>0</v>
      </c>
      <c r="K56" s="219">
        <f t="shared" si="4"/>
        <v>0</v>
      </c>
      <c r="L56" s="267"/>
      <c r="M56" s="220" t="s">
        <v>41</v>
      </c>
      <c r="N56" s="218">
        <v>0</v>
      </c>
      <c r="O56" s="257">
        <v>0</v>
      </c>
      <c r="P56" s="218">
        <f t="shared" si="5"/>
        <v>0</v>
      </c>
      <c r="Q56" s="268"/>
    </row>
    <row r="57" spans="1:17" s="38" customFormat="1">
      <c r="A57" s="251"/>
      <c r="B57" s="220" t="s">
        <v>41</v>
      </c>
      <c r="C57" s="218">
        <v>0</v>
      </c>
      <c r="D57" s="257">
        <v>0</v>
      </c>
      <c r="E57" s="268">
        <f t="shared" si="6"/>
        <v>0</v>
      </c>
      <c r="F57" s="37"/>
      <c r="G57" s="220" t="s">
        <v>41</v>
      </c>
      <c r="H57" s="256">
        <v>0</v>
      </c>
      <c r="I57" s="221">
        <v>0</v>
      </c>
      <c r="J57" s="218">
        <v>0</v>
      </c>
      <c r="K57" s="219">
        <f t="shared" si="4"/>
        <v>0</v>
      </c>
      <c r="L57" s="267"/>
      <c r="M57" s="220" t="s">
        <v>41</v>
      </c>
      <c r="N57" s="218">
        <v>0</v>
      </c>
      <c r="O57" s="257">
        <v>0</v>
      </c>
      <c r="P57" s="218">
        <f t="shared" si="5"/>
        <v>0</v>
      </c>
      <c r="Q57" s="268"/>
    </row>
    <row r="58" spans="1:17" s="38" customFormat="1">
      <c r="A58" s="251"/>
      <c r="B58" s="220" t="s">
        <v>41</v>
      </c>
      <c r="C58" s="218">
        <v>0</v>
      </c>
      <c r="D58" s="257">
        <v>0</v>
      </c>
      <c r="E58" s="268">
        <f t="shared" si="6"/>
        <v>0</v>
      </c>
      <c r="F58" s="37"/>
      <c r="G58" s="220" t="s">
        <v>41</v>
      </c>
      <c r="H58" s="256">
        <v>0</v>
      </c>
      <c r="I58" s="221">
        <v>0</v>
      </c>
      <c r="J58" s="218">
        <v>0</v>
      </c>
      <c r="K58" s="219">
        <f t="shared" si="4"/>
        <v>0</v>
      </c>
      <c r="L58" s="267"/>
      <c r="M58" s="220" t="s">
        <v>41</v>
      </c>
      <c r="N58" s="218">
        <v>0</v>
      </c>
      <c r="O58" s="257">
        <v>0</v>
      </c>
      <c r="P58" s="218">
        <f t="shared" si="5"/>
        <v>0</v>
      </c>
      <c r="Q58" s="268"/>
    </row>
    <row r="59" spans="1:17" s="38" customFormat="1">
      <c r="A59" s="251"/>
      <c r="B59" s="220" t="s">
        <v>41</v>
      </c>
      <c r="C59" s="218">
        <v>0</v>
      </c>
      <c r="D59" s="257">
        <v>0</v>
      </c>
      <c r="E59" s="268">
        <f t="shared" si="6"/>
        <v>0</v>
      </c>
      <c r="F59" s="37"/>
      <c r="G59" s="220" t="s">
        <v>41</v>
      </c>
      <c r="H59" s="256">
        <v>0</v>
      </c>
      <c r="I59" s="221">
        <v>0</v>
      </c>
      <c r="J59" s="218">
        <v>0</v>
      </c>
      <c r="K59" s="219">
        <f t="shared" si="4"/>
        <v>0</v>
      </c>
      <c r="L59" s="267"/>
      <c r="M59" s="220" t="s">
        <v>41</v>
      </c>
      <c r="N59" s="218">
        <v>0</v>
      </c>
      <c r="O59" s="257">
        <v>0</v>
      </c>
      <c r="P59" s="218">
        <f t="shared" si="5"/>
        <v>0</v>
      </c>
      <c r="Q59" s="268"/>
    </row>
    <row r="60" spans="1:17" s="38" customFormat="1">
      <c r="A60" s="251"/>
      <c r="B60" s="220" t="s">
        <v>41</v>
      </c>
      <c r="C60" s="218">
        <v>0</v>
      </c>
      <c r="D60" s="257">
        <v>0</v>
      </c>
      <c r="E60" s="268">
        <f t="shared" si="6"/>
        <v>0</v>
      </c>
      <c r="F60" s="37"/>
      <c r="G60" s="220" t="s">
        <v>41</v>
      </c>
      <c r="H60" s="256">
        <v>0</v>
      </c>
      <c r="I60" s="221">
        <v>0</v>
      </c>
      <c r="J60" s="218">
        <v>0</v>
      </c>
      <c r="K60" s="219">
        <f t="shared" si="4"/>
        <v>0</v>
      </c>
      <c r="L60" s="267"/>
      <c r="M60" s="220" t="s">
        <v>41</v>
      </c>
      <c r="N60" s="218">
        <v>0</v>
      </c>
      <c r="O60" s="257">
        <v>0</v>
      </c>
      <c r="P60" s="218">
        <f t="shared" si="5"/>
        <v>0</v>
      </c>
      <c r="Q60" s="268"/>
    </row>
    <row r="61" spans="1:17" s="38" customFormat="1">
      <c r="A61" s="251"/>
      <c r="B61" s="220" t="s">
        <v>41</v>
      </c>
      <c r="C61" s="218">
        <v>0</v>
      </c>
      <c r="D61" s="257">
        <v>0</v>
      </c>
      <c r="E61" s="268">
        <f t="shared" si="6"/>
        <v>0</v>
      </c>
      <c r="F61" s="37"/>
      <c r="G61" s="220" t="s">
        <v>41</v>
      </c>
      <c r="H61" s="256">
        <v>0</v>
      </c>
      <c r="I61" s="221">
        <v>0</v>
      </c>
      <c r="J61" s="218">
        <v>0</v>
      </c>
      <c r="K61" s="219">
        <f t="shared" si="4"/>
        <v>0</v>
      </c>
      <c r="L61" s="267"/>
      <c r="M61" s="220" t="s">
        <v>41</v>
      </c>
      <c r="N61" s="218">
        <v>0</v>
      </c>
      <c r="O61" s="257">
        <v>0</v>
      </c>
      <c r="P61" s="218">
        <f t="shared" si="5"/>
        <v>0</v>
      </c>
      <c r="Q61" s="268"/>
    </row>
    <row r="62" spans="1:17" s="38" customFormat="1">
      <c r="A62" s="251"/>
      <c r="B62" s="220" t="s">
        <v>41</v>
      </c>
      <c r="C62" s="218">
        <v>0</v>
      </c>
      <c r="D62" s="257">
        <v>0</v>
      </c>
      <c r="E62" s="268">
        <f t="shared" si="6"/>
        <v>0</v>
      </c>
      <c r="F62" s="37"/>
      <c r="G62" s="220" t="s">
        <v>41</v>
      </c>
      <c r="H62" s="256">
        <v>0</v>
      </c>
      <c r="I62" s="221">
        <v>0</v>
      </c>
      <c r="J62" s="218">
        <v>0</v>
      </c>
      <c r="K62" s="219">
        <f t="shared" si="4"/>
        <v>0</v>
      </c>
      <c r="L62" s="267"/>
      <c r="M62" s="220" t="s">
        <v>41</v>
      </c>
      <c r="N62" s="218">
        <v>0</v>
      </c>
      <c r="O62" s="257">
        <v>0</v>
      </c>
      <c r="P62" s="218">
        <f t="shared" si="5"/>
        <v>0</v>
      </c>
      <c r="Q62" s="268"/>
    </row>
    <row r="63" spans="1:17" s="38" customFormat="1">
      <c r="A63" s="251"/>
      <c r="B63" s="220" t="s">
        <v>41</v>
      </c>
      <c r="C63" s="218">
        <v>0</v>
      </c>
      <c r="D63" s="257">
        <v>0</v>
      </c>
      <c r="E63" s="268">
        <f t="shared" si="6"/>
        <v>0</v>
      </c>
      <c r="F63" s="37"/>
      <c r="G63" s="220" t="s">
        <v>41</v>
      </c>
      <c r="H63" s="256">
        <v>0</v>
      </c>
      <c r="I63" s="221">
        <v>0</v>
      </c>
      <c r="J63" s="218">
        <v>0</v>
      </c>
      <c r="K63" s="219">
        <f t="shared" si="4"/>
        <v>0</v>
      </c>
      <c r="L63" s="267"/>
      <c r="M63" s="220" t="s">
        <v>41</v>
      </c>
      <c r="N63" s="218">
        <v>0</v>
      </c>
      <c r="O63" s="257">
        <v>0</v>
      </c>
      <c r="P63" s="218">
        <f t="shared" si="5"/>
        <v>0</v>
      </c>
      <c r="Q63" s="268"/>
    </row>
    <row r="64" spans="1:17" s="38" customFormat="1">
      <c r="A64" s="251"/>
      <c r="B64" s="220" t="s">
        <v>41</v>
      </c>
      <c r="C64" s="218">
        <v>0</v>
      </c>
      <c r="D64" s="257">
        <v>0</v>
      </c>
      <c r="E64" s="268">
        <f t="shared" si="6"/>
        <v>0</v>
      </c>
      <c r="F64" s="37"/>
      <c r="G64" s="220" t="s">
        <v>41</v>
      </c>
      <c r="H64" s="256">
        <v>0</v>
      </c>
      <c r="I64" s="221">
        <v>0</v>
      </c>
      <c r="J64" s="218">
        <v>0</v>
      </c>
      <c r="K64" s="219">
        <f t="shared" si="4"/>
        <v>0</v>
      </c>
      <c r="L64" s="267"/>
      <c r="M64" s="220" t="s">
        <v>41</v>
      </c>
      <c r="N64" s="218">
        <v>0</v>
      </c>
      <c r="O64" s="257">
        <v>0</v>
      </c>
      <c r="P64" s="218">
        <f t="shared" si="5"/>
        <v>0</v>
      </c>
      <c r="Q64" s="268"/>
    </row>
    <row r="65" spans="1:17" s="38" customFormat="1">
      <c r="A65" s="251"/>
      <c r="B65" s="220" t="s">
        <v>41</v>
      </c>
      <c r="C65" s="218">
        <v>0</v>
      </c>
      <c r="D65" s="257">
        <v>0</v>
      </c>
      <c r="E65" s="268">
        <f t="shared" si="6"/>
        <v>0</v>
      </c>
      <c r="F65" s="37"/>
      <c r="G65" s="220" t="s">
        <v>41</v>
      </c>
      <c r="H65" s="256">
        <v>0</v>
      </c>
      <c r="I65" s="221">
        <v>0</v>
      </c>
      <c r="J65" s="218">
        <v>0</v>
      </c>
      <c r="K65" s="219">
        <f t="shared" si="4"/>
        <v>0</v>
      </c>
      <c r="L65" s="267"/>
      <c r="M65" s="220" t="s">
        <v>41</v>
      </c>
      <c r="N65" s="218">
        <v>0</v>
      </c>
      <c r="O65" s="257">
        <v>0</v>
      </c>
      <c r="P65" s="218">
        <f t="shared" si="5"/>
        <v>0</v>
      </c>
      <c r="Q65" s="268"/>
    </row>
    <row r="66" spans="1:17" s="38" customFormat="1">
      <c r="A66" s="251"/>
      <c r="B66" s="220" t="s">
        <v>41</v>
      </c>
      <c r="C66" s="218">
        <v>0</v>
      </c>
      <c r="D66" s="257">
        <v>0</v>
      </c>
      <c r="E66" s="268">
        <f t="shared" si="6"/>
        <v>0</v>
      </c>
      <c r="F66" s="37"/>
      <c r="G66" s="220" t="s">
        <v>41</v>
      </c>
      <c r="H66" s="256">
        <v>0</v>
      </c>
      <c r="I66" s="221">
        <v>0</v>
      </c>
      <c r="J66" s="218">
        <v>0</v>
      </c>
      <c r="K66" s="219">
        <f t="shared" si="4"/>
        <v>0</v>
      </c>
      <c r="L66" s="267"/>
      <c r="M66" s="220" t="s">
        <v>41</v>
      </c>
      <c r="N66" s="218">
        <v>0</v>
      </c>
      <c r="O66" s="257">
        <v>0</v>
      </c>
      <c r="P66" s="218">
        <f t="shared" si="5"/>
        <v>0</v>
      </c>
      <c r="Q66" s="268"/>
    </row>
    <row r="67" spans="1:17" s="38" customFormat="1">
      <c r="A67" s="251"/>
      <c r="B67" s="220" t="s">
        <v>41</v>
      </c>
      <c r="C67" s="218">
        <v>0</v>
      </c>
      <c r="D67" s="257">
        <v>0</v>
      </c>
      <c r="E67" s="268">
        <f t="shared" si="6"/>
        <v>0</v>
      </c>
      <c r="F67" s="37"/>
      <c r="G67" s="220" t="s">
        <v>41</v>
      </c>
      <c r="H67" s="256">
        <v>0</v>
      </c>
      <c r="I67" s="221">
        <v>0</v>
      </c>
      <c r="J67" s="218">
        <v>0</v>
      </c>
      <c r="K67" s="219">
        <f t="shared" si="4"/>
        <v>0</v>
      </c>
      <c r="L67" s="267"/>
      <c r="M67" s="220" t="s">
        <v>41</v>
      </c>
      <c r="N67" s="218">
        <v>0</v>
      </c>
      <c r="O67" s="257">
        <v>0</v>
      </c>
      <c r="P67" s="218">
        <f t="shared" si="5"/>
        <v>0</v>
      </c>
      <c r="Q67" s="268"/>
    </row>
    <row r="68" spans="1:17" s="38" customFormat="1">
      <c r="A68" s="251"/>
      <c r="B68" s="220" t="s">
        <v>41</v>
      </c>
      <c r="C68" s="218">
        <v>0</v>
      </c>
      <c r="D68" s="257">
        <v>0</v>
      </c>
      <c r="E68" s="268">
        <f t="shared" si="6"/>
        <v>0</v>
      </c>
      <c r="F68" s="35"/>
      <c r="G68" s="220" t="s">
        <v>41</v>
      </c>
      <c r="H68" s="222">
        <v>0</v>
      </c>
      <c r="I68" s="221">
        <v>0</v>
      </c>
      <c r="J68" s="218">
        <v>0</v>
      </c>
      <c r="K68" s="219">
        <f>IF(ISERR((H68*I68)/J68),0,(H68*I68)/J68)</f>
        <v>0</v>
      </c>
      <c r="L68" s="267"/>
      <c r="M68" s="220" t="s">
        <v>41</v>
      </c>
      <c r="N68" s="218">
        <v>0</v>
      </c>
      <c r="O68" s="257">
        <v>0</v>
      </c>
      <c r="P68" s="218">
        <f t="shared" si="5"/>
        <v>0</v>
      </c>
      <c r="Q68" s="268"/>
    </row>
    <row r="69" spans="1:17" s="38" customFormat="1">
      <c r="A69" s="251"/>
      <c r="B69" s="220" t="s">
        <v>41</v>
      </c>
      <c r="C69" s="218">
        <v>0</v>
      </c>
      <c r="D69" s="257">
        <v>0</v>
      </c>
      <c r="E69" s="268">
        <f t="shared" si="6"/>
        <v>0</v>
      </c>
      <c r="F69" s="35"/>
      <c r="G69" s="220" t="s">
        <v>41</v>
      </c>
      <c r="H69" s="222">
        <v>0</v>
      </c>
      <c r="I69" s="221">
        <v>0</v>
      </c>
      <c r="J69" s="218">
        <v>0</v>
      </c>
      <c r="K69" s="219">
        <f>IF(ISERR((H69*I69)/J69),0,(H69*I69)/J69)</f>
        <v>0</v>
      </c>
      <c r="L69" s="267"/>
      <c r="M69" s="220" t="s">
        <v>41</v>
      </c>
      <c r="N69" s="218">
        <v>0</v>
      </c>
      <c r="O69" s="257">
        <v>0</v>
      </c>
      <c r="P69" s="218">
        <f t="shared" si="5"/>
        <v>0</v>
      </c>
      <c r="Q69" s="268"/>
    </row>
    <row r="70" spans="1:17" s="301" customFormat="1">
      <c r="A70" s="298"/>
      <c r="B70" s="220" t="s">
        <v>41</v>
      </c>
      <c r="C70" s="226">
        <v>0</v>
      </c>
      <c r="D70" s="299">
        <v>0</v>
      </c>
      <c r="E70" s="300">
        <f t="shared" si="6"/>
        <v>0</v>
      </c>
      <c r="G70" s="220" t="s">
        <v>41</v>
      </c>
      <c r="H70" s="223">
        <v>0</v>
      </c>
      <c r="I70" s="224">
        <v>0</v>
      </c>
      <c r="J70" s="226">
        <v>0</v>
      </c>
      <c r="K70" s="225">
        <f>IF(ISERR((H70*I70)/J70),0,(H70*I70)/J70)</f>
        <v>0</v>
      </c>
      <c r="L70" s="302"/>
      <c r="M70" s="220" t="s">
        <v>41</v>
      </c>
      <c r="N70" s="226">
        <v>0</v>
      </c>
      <c r="O70" s="299">
        <v>0</v>
      </c>
      <c r="P70" s="226">
        <f t="shared" si="5"/>
        <v>0</v>
      </c>
      <c r="Q70" s="303"/>
    </row>
    <row r="71" spans="1:17" s="38" customFormat="1">
      <c r="A71" s="286"/>
      <c r="B71" s="287"/>
      <c r="C71" s="266"/>
      <c r="D71" s="285"/>
      <c r="E71" s="288"/>
      <c r="G71" s="287"/>
      <c r="H71" s="289"/>
      <c r="I71" s="285"/>
      <c r="J71" s="266"/>
      <c r="K71" s="267"/>
      <c r="L71" s="267"/>
      <c r="M71" s="287"/>
      <c r="N71" s="266"/>
      <c r="O71" s="285"/>
      <c r="P71" s="266"/>
      <c r="Q71" s="290"/>
    </row>
    <row r="72" spans="1:17" s="292" customFormat="1">
      <c r="A72" s="291"/>
      <c r="B72" s="40" t="s">
        <v>42</v>
      </c>
      <c r="C72" s="269"/>
      <c r="D72" s="41"/>
      <c r="E72" s="42">
        <f>SUM(E5:E70)</f>
        <v>25163.100000000002</v>
      </c>
      <c r="G72" s="40" t="s">
        <v>226</v>
      </c>
      <c r="H72" s="293"/>
      <c r="I72" s="294"/>
      <c r="J72" s="295">
        <f>SUM(J5:J14)</f>
        <v>16877</v>
      </c>
      <c r="K72" s="296">
        <f>SUM(K5:K70)</f>
        <v>140.64166666666668</v>
      </c>
      <c r="L72" s="297"/>
      <c r="M72" s="40" t="s">
        <v>42</v>
      </c>
      <c r="N72" s="269"/>
      <c r="O72" s="41"/>
      <c r="P72" s="270"/>
      <c r="Q72" s="270">
        <f>SUM(Q5:Q70)</f>
        <v>59162.16</v>
      </c>
    </row>
    <row r="73" spans="1:17" s="38" customFormat="1">
      <c r="A73" s="251"/>
      <c r="B73" s="240" t="s">
        <v>43</v>
      </c>
      <c r="C73" s="241"/>
      <c r="D73" s="46"/>
      <c r="E73" s="43">
        <v>32</v>
      </c>
      <c r="F73" s="37"/>
      <c r="G73" s="703" t="s">
        <v>333</v>
      </c>
      <c r="H73" s="704"/>
      <c r="I73" s="704"/>
      <c r="J73" s="704"/>
      <c r="K73" s="707"/>
      <c r="L73" s="271"/>
      <c r="M73" s="240" t="s">
        <v>43</v>
      </c>
      <c r="N73" s="241"/>
      <c r="O73" s="46"/>
      <c r="P73" s="701">
        <v>32</v>
      </c>
      <c r="Q73" s="702"/>
    </row>
    <row r="74" spans="1:17" s="38" customFormat="1">
      <c r="A74" s="251"/>
      <c r="B74" s="703" t="s">
        <v>44</v>
      </c>
      <c r="C74" s="704"/>
      <c r="D74" s="704"/>
      <c r="E74" s="47">
        <f>E72/E73</f>
        <v>786.34687500000007</v>
      </c>
      <c r="F74" s="37"/>
      <c r="G74" s="258" t="s">
        <v>44</v>
      </c>
      <c r="H74" s="259"/>
      <c r="I74" s="260"/>
      <c r="J74" s="261"/>
      <c r="K74" s="262">
        <f>K72/32</f>
        <v>4.3950520833333337</v>
      </c>
      <c r="L74" s="272"/>
      <c r="M74" s="703" t="s">
        <v>44</v>
      </c>
      <c r="N74" s="704"/>
      <c r="O74" s="704"/>
      <c r="P74" s="47">
        <f>P72/P73</f>
        <v>0</v>
      </c>
      <c r="Q74" s="273">
        <f>Q72/P73</f>
        <v>1848.8175000000001</v>
      </c>
    </row>
    <row r="75" spans="1:17" s="38" customFormat="1">
      <c r="A75" s="251"/>
      <c r="B75" s="703" t="s">
        <v>171</v>
      </c>
      <c r="C75" s="704"/>
      <c r="D75" s="704"/>
      <c r="E75" s="263">
        <f>E74/12</f>
        <v>65.528906250000006</v>
      </c>
      <c r="F75" s="37"/>
      <c r="G75" s="30"/>
      <c r="H75" s="216"/>
      <c r="I75" s="31"/>
      <c r="J75" s="30"/>
      <c r="K75" s="30"/>
      <c r="L75" s="30"/>
      <c r="M75" s="703" t="s">
        <v>171</v>
      </c>
      <c r="N75" s="704"/>
      <c r="O75" s="704"/>
      <c r="P75" s="263">
        <f>P74/12</f>
        <v>0</v>
      </c>
      <c r="Q75" s="274">
        <f>Q74/12</f>
        <v>154.06812500000001</v>
      </c>
    </row>
    <row r="76" spans="1:17" s="38" customFormat="1">
      <c r="B76" s="37"/>
      <c r="C76" s="37"/>
      <c r="D76" s="37"/>
      <c r="E76" s="45"/>
      <c r="F76" s="37"/>
      <c r="G76" s="30"/>
      <c r="H76" s="216"/>
      <c r="I76" s="31"/>
      <c r="J76" s="30"/>
      <c r="K76" s="30"/>
    </row>
    <row r="77" spans="1:17" s="36" customFormat="1">
      <c r="B77" s="37"/>
      <c r="C77" s="37"/>
      <c r="D77" s="37"/>
      <c r="E77" s="45"/>
      <c r="F77" s="39"/>
      <c r="G77" s="30"/>
      <c r="H77" s="216"/>
      <c r="I77" s="31"/>
      <c r="J77" s="30"/>
      <c r="K77" s="30"/>
    </row>
    <row r="78" spans="1:17" s="36" customFormat="1">
      <c r="B78" s="37"/>
      <c r="C78" s="37"/>
      <c r="D78" s="37"/>
      <c r="E78" s="45"/>
      <c r="F78" s="39"/>
      <c r="G78" s="30"/>
      <c r="H78" s="216"/>
      <c r="I78" s="31"/>
      <c r="J78" s="30"/>
      <c r="K78" s="30"/>
    </row>
    <row r="79" spans="1:17">
      <c r="B79" s="37"/>
      <c r="C79" s="37"/>
      <c r="D79" s="37"/>
      <c r="E79" s="45"/>
    </row>
    <row r="80" spans="1:17">
      <c r="B80" s="37"/>
      <c r="C80" s="37"/>
      <c r="D80" s="37"/>
      <c r="E80" s="45"/>
    </row>
    <row r="81" spans="2:5">
      <c r="B81" s="37"/>
      <c r="C81" s="37"/>
      <c r="D81" s="37"/>
      <c r="E81" s="45"/>
    </row>
    <row r="82" spans="2:5">
      <c r="B82" s="37"/>
      <c r="C82" s="37"/>
      <c r="D82" s="37"/>
      <c r="E82" s="45"/>
    </row>
    <row r="83" spans="2:5">
      <c r="B83" s="37"/>
      <c r="C83" s="37"/>
      <c r="D83" s="37"/>
      <c r="E83" s="45"/>
    </row>
    <row r="84" spans="2:5">
      <c r="B84" s="39"/>
      <c r="C84" s="39"/>
      <c r="D84" s="39"/>
      <c r="E84" s="45"/>
    </row>
    <row r="85" spans="2:5">
      <c r="B85" s="39"/>
      <c r="C85" s="39"/>
      <c r="D85" s="39"/>
      <c r="E85" s="45"/>
    </row>
    <row r="86" spans="2:5">
      <c r="E86" s="44"/>
    </row>
  </sheetData>
  <autoFilter ref="M4:Q4">
    <sortState ref="M5:Q70">
      <sortCondition ref="M4"/>
    </sortState>
  </autoFilter>
  <mergeCells count="10">
    <mergeCell ref="B1:Q1"/>
    <mergeCell ref="J2:P2"/>
    <mergeCell ref="P73:Q73"/>
    <mergeCell ref="M74:O74"/>
    <mergeCell ref="B75:D75"/>
    <mergeCell ref="M75:O75"/>
    <mergeCell ref="B74:D74"/>
    <mergeCell ref="B3:E3"/>
    <mergeCell ref="G3:K3"/>
    <mergeCell ref="G73:K73"/>
  </mergeCells>
  <conditionalFormatting sqref="B71 G71:J71 J5:J10 D54:D71 O54:O71 O37 P5:P71 H12:J37 H68:J70">
    <cfRule type="expression" dxfId="34" priority="43" stopIfTrue="1">
      <formula>$R$6=TRUE</formula>
    </cfRule>
  </conditionalFormatting>
  <conditionalFormatting sqref="H5:H10">
    <cfRule type="expression" dxfId="33" priority="42" stopIfTrue="1">
      <formula>$R$6=TRUE</formula>
    </cfRule>
  </conditionalFormatting>
  <conditionalFormatting sqref="H72:J72">
    <cfRule type="expression" dxfId="32" priority="41" stopIfTrue="1">
      <formula>$R$6=TRUE</formula>
    </cfRule>
  </conditionalFormatting>
  <conditionalFormatting sqref="K5:L10 L11">
    <cfRule type="expression" dxfId="31" priority="40" stopIfTrue="1">
      <formula>$R$6=TRUE</formula>
    </cfRule>
  </conditionalFormatting>
  <conditionalFormatting sqref="H38:J67">
    <cfRule type="expression" dxfId="30" priority="39" stopIfTrue="1">
      <formula>$R$6=TRUE</formula>
    </cfRule>
  </conditionalFormatting>
  <conditionalFormatting sqref="G5:G11">
    <cfRule type="expression" dxfId="29" priority="38" stopIfTrue="1">
      <formula>$R$6=TRUE</formula>
    </cfRule>
  </conditionalFormatting>
  <conditionalFormatting sqref="I5:I11">
    <cfRule type="expression" dxfId="28" priority="37" stopIfTrue="1">
      <formula>$R$6=TRUE</formula>
    </cfRule>
  </conditionalFormatting>
  <conditionalFormatting sqref="Q5:Q36">
    <cfRule type="expression" dxfId="27" priority="36" stopIfTrue="1">
      <formula>$R$6=TRUE</formula>
    </cfRule>
  </conditionalFormatting>
  <conditionalFormatting sqref="N70:N71">
    <cfRule type="expression" dxfId="26" priority="28" stopIfTrue="1">
      <formula>$R$6=TRUE</formula>
    </cfRule>
  </conditionalFormatting>
  <conditionalFormatting sqref="C55:C71">
    <cfRule type="expression" dxfId="25" priority="33" stopIfTrue="1">
      <formula>$R$6=TRUE</formula>
    </cfRule>
  </conditionalFormatting>
  <conditionalFormatting sqref="N54:N69">
    <cfRule type="expression" dxfId="24" priority="30" stopIfTrue="1">
      <formula>$R$6=TRUE</formula>
    </cfRule>
  </conditionalFormatting>
  <conditionalFormatting sqref="M71">
    <cfRule type="expression" dxfId="23" priority="29" stopIfTrue="1">
      <formula>$R$6=TRUE</formula>
    </cfRule>
  </conditionalFormatting>
  <conditionalFormatting sqref="N39:O53 O38">
    <cfRule type="expression" dxfId="22" priority="27" stopIfTrue="1">
      <formula>$R$6=TRUE</formula>
    </cfRule>
  </conditionalFormatting>
  <conditionalFormatting sqref="A5:A75">
    <cfRule type="expression" dxfId="21" priority="20" stopIfTrue="1">
      <formula>$R$6=TRUE</formula>
    </cfRule>
  </conditionalFormatting>
  <conditionalFormatting sqref="D5:D52">
    <cfRule type="expression" dxfId="20" priority="21" stopIfTrue="1">
      <formula>$R$6=TRUE</formula>
    </cfRule>
  </conditionalFormatting>
  <conditionalFormatting sqref="B5:B9">
    <cfRule type="expression" dxfId="19" priority="24" stopIfTrue="1">
      <formula>$R$6=TRUE</formula>
    </cfRule>
  </conditionalFormatting>
  <conditionalFormatting sqref="B10:B52">
    <cfRule type="expression" dxfId="18" priority="23" stopIfTrue="1">
      <formula>$R$6=TRUE</formula>
    </cfRule>
  </conditionalFormatting>
  <conditionalFormatting sqref="C5:C52">
    <cfRule type="expression" dxfId="17" priority="22" stopIfTrue="1">
      <formula>$R$6=TRUE</formula>
    </cfRule>
  </conditionalFormatting>
  <conditionalFormatting sqref="C53:C54">
    <cfRule type="expression" dxfId="16" priority="19" stopIfTrue="1">
      <formula>$R$6=TRUE</formula>
    </cfRule>
  </conditionalFormatting>
  <conditionalFormatting sqref="D53">
    <cfRule type="expression" dxfId="15" priority="18" stopIfTrue="1">
      <formula>$R$6=TRUE</formula>
    </cfRule>
  </conditionalFormatting>
  <conditionalFormatting sqref="M32:M70">
    <cfRule type="expression" dxfId="14" priority="1" stopIfTrue="1">
      <formula>$R$6=TRUE</formula>
    </cfRule>
  </conditionalFormatting>
  <conditionalFormatting sqref="H11">
    <cfRule type="expression" dxfId="13" priority="16" stopIfTrue="1">
      <formula>$R$6=TRUE</formula>
    </cfRule>
  </conditionalFormatting>
  <conditionalFormatting sqref="J11">
    <cfRule type="expression" dxfId="12" priority="15" stopIfTrue="1">
      <formula>$R$6=TRUE</formula>
    </cfRule>
  </conditionalFormatting>
  <conditionalFormatting sqref="K11">
    <cfRule type="expression" dxfId="11" priority="14" stopIfTrue="1">
      <formula>$R$6=TRUE</formula>
    </cfRule>
  </conditionalFormatting>
  <conditionalFormatting sqref="M5:M29">
    <cfRule type="expression" dxfId="10" priority="13" stopIfTrue="1">
      <formula>$R$6=TRUE</formula>
    </cfRule>
  </conditionalFormatting>
  <conditionalFormatting sqref="G12">
    <cfRule type="expression" dxfId="9" priority="12" stopIfTrue="1">
      <formula>$R$6=TRUE</formula>
    </cfRule>
  </conditionalFormatting>
  <conditionalFormatting sqref="G13:G17">
    <cfRule type="expression" dxfId="8" priority="11" stopIfTrue="1">
      <formula>$R$6=TRUE</formula>
    </cfRule>
  </conditionalFormatting>
  <conditionalFormatting sqref="B53 B59 B65">
    <cfRule type="expression" dxfId="7" priority="10" stopIfTrue="1">
      <formula>$R$6=TRUE</formula>
    </cfRule>
  </conditionalFormatting>
  <conditionalFormatting sqref="B54:B58 B60:B64 B66:B70">
    <cfRule type="expression" dxfId="6" priority="9" stopIfTrue="1">
      <formula>$R$6=TRUE</formula>
    </cfRule>
  </conditionalFormatting>
  <conditionalFormatting sqref="G18:G70">
    <cfRule type="expression" dxfId="5" priority="8" stopIfTrue="1">
      <formula>$R$6=TRUE</formula>
    </cfRule>
  </conditionalFormatting>
  <conditionalFormatting sqref="N33:N38">
    <cfRule type="expression" dxfId="4" priority="6" stopIfTrue="1">
      <formula>$R$6=TRUE</formula>
    </cfRule>
  </conditionalFormatting>
  <conditionalFormatting sqref="O32:O36">
    <cfRule type="expression" dxfId="3" priority="5" stopIfTrue="1">
      <formula>$R$6=TRUE</formula>
    </cfRule>
  </conditionalFormatting>
  <conditionalFormatting sqref="O5:O31">
    <cfRule type="expression" dxfId="2" priority="4" stopIfTrue="1">
      <formula>$R$6=TRUE</formula>
    </cfRule>
  </conditionalFormatting>
  <conditionalFormatting sqref="N5:N32">
    <cfRule type="expression" dxfId="1" priority="3" stopIfTrue="1">
      <formula>$R$6=TRUE</formula>
    </cfRule>
  </conditionalFormatting>
  <conditionalFormatting sqref="M30:M31">
    <cfRule type="expression" dxfId="0" priority="2" stopIfTrue="1">
      <formula>$R$6=TRUE</formula>
    </cfRule>
  </conditionalFormatting>
  <pageMargins left="0.19685039370078741" right="0.19685039370078741" top="0.78740157480314965" bottom="0.39370078740157483" header="0.51181102362204722" footer="0.51181102362204722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print="0" autoFill="0" autoLine="0" autoPict="0">
                <anchor moveWithCells="1">
                  <from>
                    <xdr:col>18</xdr:col>
                    <xdr:colOff>123825</xdr:colOff>
                    <xdr:row>3</xdr:row>
                    <xdr:rowOff>104775</xdr:rowOff>
                  </from>
                  <to>
                    <xdr:col>23</xdr:col>
                    <xdr:colOff>0</xdr:colOff>
                    <xdr:row>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85" zoomScaleNormal="85" workbookViewId="0">
      <selection activeCell="G10" sqref="G10:H10"/>
    </sheetView>
  </sheetViews>
  <sheetFormatPr defaultRowHeight="15"/>
  <cols>
    <col min="1" max="1" width="6.42578125" style="123" bestFit="1" customWidth="1"/>
    <col min="2" max="2" width="41.28515625" style="123" customWidth="1"/>
    <col min="3" max="3" width="9.42578125" style="131" customWidth="1"/>
    <col min="4" max="4" width="9.7109375" style="123" customWidth="1"/>
    <col min="5" max="5" width="12" style="123" customWidth="1"/>
    <col min="6" max="6" width="14.5703125" style="123" customWidth="1"/>
    <col min="7" max="7" width="6.28515625" style="123" customWidth="1"/>
    <col min="8" max="8" width="8.140625" style="123" customWidth="1"/>
    <col min="9" max="251" width="9.140625" style="123"/>
    <col min="252" max="252" width="6.42578125" style="123" bestFit="1" customWidth="1"/>
    <col min="253" max="253" width="24.28515625" style="123" customWidth="1"/>
    <col min="254" max="254" width="9.42578125" style="123" customWidth="1"/>
    <col min="255" max="255" width="9.7109375" style="123" customWidth="1"/>
    <col min="256" max="256" width="12" style="123" customWidth="1"/>
    <col min="257" max="257" width="14.5703125" style="123" customWidth="1"/>
    <col min="258" max="258" width="6.28515625" style="123" customWidth="1"/>
    <col min="259" max="259" width="8.140625" style="123" customWidth="1"/>
    <col min="260" max="507" width="9.140625" style="123"/>
    <col min="508" max="508" width="6.42578125" style="123" bestFit="1" customWidth="1"/>
    <col min="509" max="509" width="24.28515625" style="123" customWidth="1"/>
    <col min="510" max="510" width="9.42578125" style="123" customWidth="1"/>
    <col min="511" max="511" width="9.7109375" style="123" customWidth="1"/>
    <col min="512" max="512" width="12" style="123" customWidth="1"/>
    <col min="513" max="513" width="14.5703125" style="123" customWidth="1"/>
    <col min="514" max="514" width="6.28515625" style="123" customWidth="1"/>
    <col min="515" max="515" width="8.140625" style="123" customWidth="1"/>
    <col min="516" max="763" width="9.140625" style="123"/>
    <col min="764" max="764" width="6.42578125" style="123" bestFit="1" customWidth="1"/>
    <col min="765" max="765" width="24.28515625" style="123" customWidth="1"/>
    <col min="766" max="766" width="9.42578125" style="123" customWidth="1"/>
    <col min="767" max="767" width="9.7109375" style="123" customWidth="1"/>
    <col min="768" max="768" width="12" style="123" customWidth="1"/>
    <col min="769" max="769" width="14.5703125" style="123" customWidth="1"/>
    <col min="770" max="770" width="6.28515625" style="123" customWidth="1"/>
    <col min="771" max="771" width="8.140625" style="123" customWidth="1"/>
    <col min="772" max="1019" width="9.140625" style="123"/>
    <col min="1020" max="1020" width="6.42578125" style="123" bestFit="1" customWidth="1"/>
    <col min="1021" max="1021" width="24.28515625" style="123" customWidth="1"/>
    <col min="1022" max="1022" width="9.42578125" style="123" customWidth="1"/>
    <col min="1023" max="1023" width="9.7109375" style="123" customWidth="1"/>
    <col min="1024" max="1024" width="12" style="123" customWidth="1"/>
    <col min="1025" max="1025" width="14.5703125" style="123" customWidth="1"/>
    <col min="1026" max="1026" width="6.28515625" style="123" customWidth="1"/>
    <col min="1027" max="1027" width="8.140625" style="123" customWidth="1"/>
    <col min="1028" max="1275" width="9.140625" style="123"/>
    <col min="1276" max="1276" width="6.42578125" style="123" bestFit="1" customWidth="1"/>
    <col min="1277" max="1277" width="24.28515625" style="123" customWidth="1"/>
    <col min="1278" max="1278" width="9.42578125" style="123" customWidth="1"/>
    <col min="1279" max="1279" width="9.7109375" style="123" customWidth="1"/>
    <col min="1280" max="1280" width="12" style="123" customWidth="1"/>
    <col min="1281" max="1281" width="14.5703125" style="123" customWidth="1"/>
    <col min="1282" max="1282" width="6.28515625" style="123" customWidth="1"/>
    <col min="1283" max="1283" width="8.140625" style="123" customWidth="1"/>
    <col min="1284" max="1531" width="9.140625" style="123"/>
    <col min="1532" max="1532" width="6.42578125" style="123" bestFit="1" customWidth="1"/>
    <col min="1533" max="1533" width="24.28515625" style="123" customWidth="1"/>
    <col min="1534" max="1534" width="9.42578125" style="123" customWidth="1"/>
    <col min="1535" max="1535" width="9.7109375" style="123" customWidth="1"/>
    <col min="1536" max="1536" width="12" style="123" customWidth="1"/>
    <col min="1537" max="1537" width="14.5703125" style="123" customWidth="1"/>
    <col min="1538" max="1538" width="6.28515625" style="123" customWidth="1"/>
    <col min="1539" max="1539" width="8.140625" style="123" customWidth="1"/>
    <col min="1540" max="1787" width="9.140625" style="123"/>
    <col min="1788" max="1788" width="6.42578125" style="123" bestFit="1" customWidth="1"/>
    <col min="1789" max="1789" width="24.28515625" style="123" customWidth="1"/>
    <col min="1790" max="1790" width="9.42578125" style="123" customWidth="1"/>
    <col min="1791" max="1791" width="9.7109375" style="123" customWidth="1"/>
    <col min="1792" max="1792" width="12" style="123" customWidth="1"/>
    <col min="1793" max="1793" width="14.5703125" style="123" customWidth="1"/>
    <col min="1794" max="1794" width="6.28515625" style="123" customWidth="1"/>
    <col min="1795" max="1795" width="8.140625" style="123" customWidth="1"/>
    <col min="1796" max="2043" width="9.140625" style="123"/>
    <col min="2044" max="2044" width="6.42578125" style="123" bestFit="1" customWidth="1"/>
    <col min="2045" max="2045" width="24.28515625" style="123" customWidth="1"/>
    <col min="2046" max="2046" width="9.42578125" style="123" customWidth="1"/>
    <col min="2047" max="2047" width="9.7109375" style="123" customWidth="1"/>
    <col min="2048" max="2048" width="12" style="123" customWidth="1"/>
    <col min="2049" max="2049" width="14.5703125" style="123" customWidth="1"/>
    <col min="2050" max="2050" width="6.28515625" style="123" customWidth="1"/>
    <col min="2051" max="2051" width="8.140625" style="123" customWidth="1"/>
    <col min="2052" max="2299" width="9.140625" style="123"/>
    <col min="2300" max="2300" width="6.42578125" style="123" bestFit="1" customWidth="1"/>
    <col min="2301" max="2301" width="24.28515625" style="123" customWidth="1"/>
    <col min="2302" max="2302" width="9.42578125" style="123" customWidth="1"/>
    <col min="2303" max="2303" width="9.7109375" style="123" customWidth="1"/>
    <col min="2304" max="2304" width="12" style="123" customWidth="1"/>
    <col min="2305" max="2305" width="14.5703125" style="123" customWidth="1"/>
    <col min="2306" max="2306" width="6.28515625" style="123" customWidth="1"/>
    <col min="2307" max="2307" width="8.140625" style="123" customWidth="1"/>
    <col min="2308" max="2555" width="9.140625" style="123"/>
    <col min="2556" max="2556" width="6.42578125" style="123" bestFit="1" customWidth="1"/>
    <col min="2557" max="2557" width="24.28515625" style="123" customWidth="1"/>
    <col min="2558" max="2558" width="9.42578125" style="123" customWidth="1"/>
    <col min="2559" max="2559" width="9.7109375" style="123" customWidth="1"/>
    <col min="2560" max="2560" width="12" style="123" customWidth="1"/>
    <col min="2561" max="2561" width="14.5703125" style="123" customWidth="1"/>
    <col min="2562" max="2562" width="6.28515625" style="123" customWidth="1"/>
    <col min="2563" max="2563" width="8.140625" style="123" customWidth="1"/>
    <col min="2564" max="2811" width="9.140625" style="123"/>
    <col min="2812" max="2812" width="6.42578125" style="123" bestFit="1" customWidth="1"/>
    <col min="2813" max="2813" width="24.28515625" style="123" customWidth="1"/>
    <col min="2814" max="2814" width="9.42578125" style="123" customWidth="1"/>
    <col min="2815" max="2815" width="9.7109375" style="123" customWidth="1"/>
    <col min="2816" max="2816" width="12" style="123" customWidth="1"/>
    <col min="2817" max="2817" width="14.5703125" style="123" customWidth="1"/>
    <col min="2818" max="2818" width="6.28515625" style="123" customWidth="1"/>
    <col min="2819" max="2819" width="8.140625" style="123" customWidth="1"/>
    <col min="2820" max="3067" width="9.140625" style="123"/>
    <col min="3068" max="3068" width="6.42578125" style="123" bestFit="1" customWidth="1"/>
    <col min="3069" max="3069" width="24.28515625" style="123" customWidth="1"/>
    <col min="3070" max="3070" width="9.42578125" style="123" customWidth="1"/>
    <col min="3071" max="3071" width="9.7109375" style="123" customWidth="1"/>
    <col min="3072" max="3072" width="12" style="123" customWidth="1"/>
    <col min="3073" max="3073" width="14.5703125" style="123" customWidth="1"/>
    <col min="3074" max="3074" width="6.28515625" style="123" customWidth="1"/>
    <col min="3075" max="3075" width="8.140625" style="123" customWidth="1"/>
    <col min="3076" max="3323" width="9.140625" style="123"/>
    <col min="3324" max="3324" width="6.42578125" style="123" bestFit="1" customWidth="1"/>
    <col min="3325" max="3325" width="24.28515625" style="123" customWidth="1"/>
    <col min="3326" max="3326" width="9.42578125" style="123" customWidth="1"/>
    <col min="3327" max="3327" width="9.7109375" style="123" customWidth="1"/>
    <col min="3328" max="3328" width="12" style="123" customWidth="1"/>
    <col min="3329" max="3329" width="14.5703125" style="123" customWidth="1"/>
    <col min="3330" max="3330" width="6.28515625" style="123" customWidth="1"/>
    <col min="3331" max="3331" width="8.140625" style="123" customWidth="1"/>
    <col min="3332" max="3579" width="9.140625" style="123"/>
    <col min="3580" max="3580" width="6.42578125" style="123" bestFit="1" customWidth="1"/>
    <col min="3581" max="3581" width="24.28515625" style="123" customWidth="1"/>
    <col min="3582" max="3582" width="9.42578125" style="123" customWidth="1"/>
    <col min="3583" max="3583" width="9.7109375" style="123" customWidth="1"/>
    <col min="3584" max="3584" width="12" style="123" customWidth="1"/>
    <col min="3585" max="3585" width="14.5703125" style="123" customWidth="1"/>
    <col min="3586" max="3586" width="6.28515625" style="123" customWidth="1"/>
    <col min="3587" max="3587" width="8.140625" style="123" customWidth="1"/>
    <col min="3588" max="3835" width="9.140625" style="123"/>
    <col min="3836" max="3836" width="6.42578125" style="123" bestFit="1" customWidth="1"/>
    <col min="3837" max="3837" width="24.28515625" style="123" customWidth="1"/>
    <col min="3838" max="3838" width="9.42578125" style="123" customWidth="1"/>
    <col min="3839" max="3839" width="9.7109375" style="123" customWidth="1"/>
    <col min="3840" max="3840" width="12" style="123" customWidth="1"/>
    <col min="3841" max="3841" width="14.5703125" style="123" customWidth="1"/>
    <col min="3842" max="3842" width="6.28515625" style="123" customWidth="1"/>
    <col min="3843" max="3843" width="8.140625" style="123" customWidth="1"/>
    <col min="3844" max="4091" width="9.140625" style="123"/>
    <col min="4092" max="4092" width="6.42578125" style="123" bestFit="1" customWidth="1"/>
    <col min="4093" max="4093" width="24.28515625" style="123" customWidth="1"/>
    <col min="4094" max="4094" width="9.42578125" style="123" customWidth="1"/>
    <col min="4095" max="4095" width="9.7109375" style="123" customWidth="1"/>
    <col min="4096" max="4096" width="12" style="123" customWidth="1"/>
    <col min="4097" max="4097" width="14.5703125" style="123" customWidth="1"/>
    <col min="4098" max="4098" width="6.28515625" style="123" customWidth="1"/>
    <col min="4099" max="4099" width="8.140625" style="123" customWidth="1"/>
    <col min="4100" max="4347" width="9.140625" style="123"/>
    <col min="4348" max="4348" width="6.42578125" style="123" bestFit="1" customWidth="1"/>
    <col min="4349" max="4349" width="24.28515625" style="123" customWidth="1"/>
    <col min="4350" max="4350" width="9.42578125" style="123" customWidth="1"/>
    <col min="4351" max="4351" width="9.7109375" style="123" customWidth="1"/>
    <col min="4352" max="4352" width="12" style="123" customWidth="1"/>
    <col min="4353" max="4353" width="14.5703125" style="123" customWidth="1"/>
    <col min="4354" max="4354" width="6.28515625" style="123" customWidth="1"/>
    <col min="4355" max="4355" width="8.140625" style="123" customWidth="1"/>
    <col min="4356" max="4603" width="9.140625" style="123"/>
    <col min="4604" max="4604" width="6.42578125" style="123" bestFit="1" customWidth="1"/>
    <col min="4605" max="4605" width="24.28515625" style="123" customWidth="1"/>
    <col min="4606" max="4606" width="9.42578125" style="123" customWidth="1"/>
    <col min="4607" max="4607" width="9.7109375" style="123" customWidth="1"/>
    <col min="4608" max="4608" width="12" style="123" customWidth="1"/>
    <col min="4609" max="4609" width="14.5703125" style="123" customWidth="1"/>
    <col min="4610" max="4610" width="6.28515625" style="123" customWidth="1"/>
    <col min="4611" max="4611" width="8.140625" style="123" customWidth="1"/>
    <col min="4612" max="4859" width="9.140625" style="123"/>
    <col min="4860" max="4860" width="6.42578125" style="123" bestFit="1" customWidth="1"/>
    <col min="4861" max="4861" width="24.28515625" style="123" customWidth="1"/>
    <col min="4862" max="4862" width="9.42578125" style="123" customWidth="1"/>
    <col min="4863" max="4863" width="9.7109375" style="123" customWidth="1"/>
    <col min="4864" max="4864" width="12" style="123" customWidth="1"/>
    <col min="4865" max="4865" width="14.5703125" style="123" customWidth="1"/>
    <col min="4866" max="4866" width="6.28515625" style="123" customWidth="1"/>
    <col min="4867" max="4867" width="8.140625" style="123" customWidth="1"/>
    <col min="4868" max="5115" width="9.140625" style="123"/>
    <col min="5116" max="5116" width="6.42578125" style="123" bestFit="1" customWidth="1"/>
    <col min="5117" max="5117" width="24.28515625" style="123" customWidth="1"/>
    <col min="5118" max="5118" width="9.42578125" style="123" customWidth="1"/>
    <col min="5119" max="5119" width="9.7109375" style="123" customWidth="1"/>
    <col min="5120" max="5120" width="12" style="123" customWidth="1"/>
    <col min="5121" max="5121" width="14.5703125" style="123" customWidth="1"/>
    <col min="5122" max="5122" width="6.28515625" style="123" customWidth="1"/>
    <col min="5123" max="5123" width="8.140625" style="123" customWidth="1"/>
    <col min="5124" max="5371" width="9.140625" style="123"/>
    <col min="5372" max="5372" width="6.42578125" style="123" bestFit="1" customWidth="1"/>
    <col min="5373" max="5373" width="24.28515625" style="123" customWidth="1"/>
    <col min="5374" max="5374" width="9.42578125" style="123" customWidth="1"/>
    <col min="5375" max="5375" width="9.7109375" style="123" customWidth="1"/>
    <col min="5376" max="5376" width="12" style="123" customWidth="1"/>
    <col min="5377" max="5377" width="14.5703125" style="123" customWidth="1"/>
    <col min="5378" max="5378" width="6.28515625" style="123" customWidth="1"/>
    <col min="5379" max="5379" width="8.140625" style="123" customWidth="1"/>
    <col min="5380" max="5627" width="9.140625" style="123"/>
    <col min="5628" max="5628" width="6.42578125" style="123" bestFit="1" customWidth="1"/>
    <col min="5629" max="5629" width="24.28515625" style="123" customWidth="1"/>
    <col min="5630" max="5630" width="9.42578125" style="123" customWidth="1"/>
    <col min="5631" max="5631" width="9.7109375" style="123" customWidth="1"/>
    <col min="5632" max="5632" width="12" style="123" customWidth="1"/>
    <col min="5633" max="5633" width="14.5703125" style="123" customWidth="1"/>
    <col min="5634" max="5634" width="6.28515625" style="123" customWidth="1"/>
    <col min="5635" max="5635" width="8.140625" style="123" customWidth="1"/>
    <col min="5636" max="5883" width="9.140625" style="123"/>
    <col min="5884" max="5884" width="6.42578125" style="123" bestFit="1" customWidth="1"/>
    <col min="5885" max="5885" width="24.28515625" style="123" customWidth="1"/>
    <col min="5886" max="5886" width="9.42578125" style="123" customWidth="1"/>
    <col min="5887" max="5887" width="9.7109375" style="123" customWidth="1"/>
    <col min="5888" max="5888" width="12" style="123" customWidth="1"/>
    <col min="5889" max="5889" width="14.5703125" style="123" customWidth="1"/>
    <col min="5890" max="5890" width="6.28515625" style="123" customWidth="1"/>
    <col min="5891" max="5891" width="8.140625" style="123" customWidth="1"/>
    <col min="5892" max="6139" width="9.140625" style="123"/>
    <col min="6140" max="6140" width="6.42578125" style="123" bestFit="1" customWidth="1"/>
    <col min="6141" max="6141" width="24.28515625" style="123" customWidth="1"/>
    <col min="6142" max="6142" width="9.42578125" style="123" customWidth="1"/>
    <col min="6143" max="6143" width="9.7109375" style="123" customWidth="1"/>
    <col min="6144" max="6144" width="12" style="123" customWidth="1"/>
    <col min="6145" max="6145" width="14.5703125" style="123" customWidth="1"/>
    <col min="6146" max="6146" width="6.28515625" style="123" customWidth="1"/>
    <col min="6147" max="6147" width="8.140625" style="123" customWidth="1"/>
    <col min="6148" max="6395" width="9.140625" style="123"/>
    <col min="6396" max="6396" width="6.42578125" style="123" bestFit="1" customWidth="1"/>
    <col min="6397" max="6397" width="24.28515625" style="123" customWidth="1"/>
    <col min="6398" max="6398" width="9.42578125" style="123" customWidth="1"/>
    <col min="6399" max="6399" width="9.7109375" style="123" customWidth="1"/>
    <col min="6400" max="6400" width="12" style="123" customWidth="1"/>
    <col min="6401" max="6401" width="14.5703125" style="123" customWidth="1"/>
    <col min="6402" max="6402" width="6.28515625" style="123" customWidth="1"/>
    <col min="6403" max="6403" width="8.140625" style="123" customWidth="1"/>
    <col min="6404" max="6651" width="9.140625" style="123"/>
    <col min="6652" max="6652" width="6.42578125" style="123" bestFit="1" customWidth="1"/>
    <col min="6653" max="6653" width="24.28515625" style="123" customWidth="1"/>
    <col min="6654" max="6654" width="9.42578125" style="123" customWidth="1"/>
    <col min="6655" max="6655" width="9.7109375" style="123" customWidth="1"/>
    <col min="6656" max="6656" width="12" style="123" customWidth="1"/>
    <col min="6657" max="6657" width="14.5703125" style="123" customWidth="1"/>
    <col min="6658" max="6658" width="6.28515625" style="123" customWidth="1"/>
    <col min="6659" max="6659" width="8.140625" style="123" customWidth="1"/>
    <col min="6660" max="6907" width="9.140625" style="123"/>
    <col min="6908" max="6908" width="6.42578125" style="123" bestFit="1" customWidth="1"/>
    <col min="6909" max="6909" width="24.28515625" style="123" customWidth="1"/>
    <col min="6910" max="6910" width="9.42578125" style="123" customWidth="1"/>
    <col min="6911" max="6911" width="9.7109375" style="123" customWidth="1"/>
    <col min="6912" max="6912" width="12" style="123" customWidth="1"/>
    <col min="6913" max="6913" width="14.5703125" style="123" customWidth="1"/>
    <col min="6914" max="6914" width="6.28515625" style="123" customWidth="1"/>
    <col min="6915" max="6915" width="8.140625" style="123" customWidth="1"/>
    <col min="6916" max="7163" width="9.140625" style="123"/>
    <col min="7164" max="7164" width="6.42578125" style="123" bestFit="1" customWidth="1"/>
    <col min="7165" max="7165" width="24.28515625" style="123" customWidth="1"/>
    <col min="7166" max="7166" width="9.42578125" style="123" customWidth="1"/>
    <col min="7167" max="7167" width="9.7109375" style="123" customWidth="1"/>
    <col min="7168" max="7168" width="12" style="123" customWidth="1"/>
    <col min="7169" max="7169" width="14.5703125" style="123" customWidth="1"/>
    <col min="7170" max="7170" width="6.28515625" style="123" customWidth="1"/>
    <col min="7171" max="7171" width="8.140625" style="123" customWidth="1"/>
    <col min="7172" max="7419" width="9.140625" style="123"/>
    <col min="7420" max="7420" width="6.42578125" style="123" bestFit="1" customWidth="1"/>
    <col min="7421" max="7421" width="24.28515625" style="123" customWidth="1"/>
    <col min="7422" max="7422" width="9.42578125" style="123" customWidth="1"/>
    <col min="7423" max="7423" width="9.7109375" style="123" customWidth="1"/>
    <col min="7424" max="7424" width="12" style="123" customWidth="1"/>
    <col min="7425" max="7425" width="14.5703125" style="123" customWidth="1"/>
    <col min="7426" max="7426" width="6.28515625" style="123" customWidth="1"/>
    <col min="7427" max="7427" width="8.140625" style="123" customWidth="1"/>
    <col min="7428" max="7675" width="9.140625" style="123"/>
    <col min="7676" max="7676" width="6.42578125" style="123" bestFit="1" customWidth="1"/>
    <col min="7677" max="7677" width="24.28515625" style="123" customWidth="1"/>
    <col min="7678" max="7678" width="9.42578125" style="123" customWidth="1"/>
    <col min="7679" max="7679" width="9.7109375" style="123" customWidth="1"/>
    <col min="7680" max="7680" width="12" style="123" customWidth="1"/>
    <col min="7681" max="7681" width="14.5703125" style="123" customWidth="1"/>
    <col min="7682" max="7682" width="6.28515625" style="123" customWidth="1"/>
    <col min="7683" max="7683" width="8.140625" style="123" customWidth="1"/>
    <col min="7684" max="7931" width="9.140625" style="123"/>
    <col min="7932" max="7932" width="6.42578125" style="123" bestFit="1" customWidth="1"/>
    <col min="7933" max="7933" width="24.28515625" style="123" customWidth="1"/>
    <col min="7934" max="7934" width="9.42578125" style="123" customWidth="1"/>
    <col min="7935" max="7935" width="9.7109375" style="123" customWidth="1"/>
    <col min="7936" max="7936" width="12" style="123" customWidth="1"/>
    <col min="7937" max="7937" width="14.5703125" style="123" customWidth="1"/>
    <col min="7938" max="7938" width="6.28515625" style="123" customWidth="1"/>
    <col min="7939" max="7939" width="8.140625" style="123" customWidth="1"/>
    <col min="7940" max="8187" width="9.140625" style="123"/>
    <col min="8188" max="8188" width="6.42578125" style="123" bestFit="1" customWidth="1"/>
    <col min="8189" max="8189" width="24.28515625" style="123" customWidth="1"/>
    <col min="8190" max="8190" width="9.42578125" style="123" customWidth="1"/>
    <col min="8191" max="8191" width="9.7109375" style="123" customWidth="1"/>
    <col min="8192" max="8192" width="12" style="123" customWidth="1"/>
    <col min="8193" max="8193" width="14.5703125" style="123" customWidth="1"/>
    <col min="8194" max="8194" width="6.28515625" style="123" customWidth="1"/>
    <col min="8195" max="8195" width="8.140625" style="123" customWidth="1"/>
    <col min="8196" max="8443" width="9.140625" style="123"/>
    <col min="8444" max="8444" width="6.42578125" style="123" bestFit="1" customWidth="1"/>
    <col min="8445" max="8445" width="24.28515625" style="123" customWidth="1"/>
    <col min="8446" max="8446" width="9.42578125" style="123" customWidth="1"/>
    <col min="8447" max="8447" width="9.7109375" style="123" customWidth="1"/>
    <col min="8448" max="8448" width="12" style="123" customWidth="1"/>
    <col min="8449" max="8449" width="14.5703125" style="123" customWidth="1"/>
    <col min="8450" max="8450" width="6.28515625" style="123" customWidth="1"/>
    <col min="8451" max="8451" width="8.140625" style="123" customWidth="1"/>
    <col min="8452" max="8699" width="9.140625" style="123"/>
    <col min="8700" max="8700" width="6.42578125" style="123" bestFit="1" customWidth="1"/>
    <col min="8701" max="8701" width="24.28515625" style="123" customWidth="1"/>
    <col min="8702" max="8702" width="9.42578125" style="123" customWidth="1"/>
    <col min="8703" max="8703" width="9.7109375" style="123" customWidth="1"/>
    <col min="8704" max="8704" width="12" style="123" customWidth="1"/>
    <col min="8705" max="8705" width="14.5703125" style="123" customWidth="1"/>
    <col min="8706" max="8706" width="6.28515625" style="123" customWidth="1"/>
    <col min="8707" max="8707" width="8.140625" style="123" customWidth="1"/>
    <col min="8708" max="8955" width="9.140625" style="123"/>
    <col min="8956" max="8956" width="6.42578125" style="123" bestFit="1" customWidth="1"/>
    <col min="8957" max="8957" width="24.28515625" style="123" customWidth="1"/>
    <col min="8958" max="8958" width="9.42578125" style="123" customWidth="1"/>
    <col min="8959" max="8959" width="9.7109375" style="123" customWidth="1"/>
    <col min="8960" max="8960" width="12" style="123" customWidth="1"/>
    <col min="8961" max="8961" width="14.5703125" style="123" customWidth="1"/>
    <col min="8962" max="8962" width="6.28515625" style="123" customWidth="1"/>
    <col min="8963" max="8963" width="8.140625" style="123" customWidth="1"/>
    <col min="8964" max="9211" width="9.140625" style="123"/>
    <col min="9212" max="9212" width="6.42578125" style="123" bestFit="1" customWidth="1"/>
    <col min="9213" max="9213" width="24.28515625" style="123" customWidth="1"/>
    <col min="9214" max="9214" width="9.42578125" style="123" customWidth="1"/>
    <col min="9215" max="9215" width="9.7109375" style="123" customWidth="1"/>
    <col min="9216" max="9216" width="12" style="123" customWidth="1"/>
    <col min="9217" max="9217" width="14.5703125" style="123" customWidth="1"/>
    <col min="9218" max="9218" width="6.28515625" style="123" customWidth="1"/>
    <col min="9219" max="9219" width="8.140625" style="123" customWidth="1"/>
    <col min="9220" max="9467" width="9.140625" style="123"/>
    <col min="9468" max="9468" width="6.42578125" style="123" bestFit="1" customWidth="1"/>
    <col min="9469" max="9469" width="24.28515625" style="123" customWidth="1"/>
    <col min="9470" max="9470" width="9.42578125" style="123" customWidth="1"/>
    <col min="9471" max="9471" width="9.7109375" style="123" customWidth="1"/>
    <col min="9472" max="9472" width="12" style="123" customWidth="1"/>
    <col min="9473" max="9473" width="14.5703125" style="123" customWidth="1"/>
    <col min="9474" max="9474" width="6.28515625" style="123" customWidth="1"/>
    <col min="9475" max="9475" width="8.140625" style="123" customWidth="1"/>
    <col min="9476" max="9723" width="9.140625" style="123"/>
    <col min="9724" max="9724" width="6.42578125" style="123" bestFit="1" customWidth="1"/>
    <col min="9725" max="9725" width="24.28515625" style="123" customWidth="1"/>
    <col min="9726" max="9726" width="9.42578125" style="123" customWidth="1"/>
    <col min="9727" max="9727" width="9.7109375" style="123" customWidth="1"/>
    <col min="9728" max="9728" width="12" style="123" customWidth="1"/>
    <col min="9729" max="9729" width="14.5703125" style="123" customWidth="1"/>
    <col min="9730" max="9730" width="6.28515625" style="123" customWidth="1"/>
    <col min="9731" max="9731" width="8.140625" style="123" customWidth="1"/>
    <col min="9732" max="9979" width="9.140625" style="123"/>
    <col min="9980" max="9980" width="6.42578125" style="123" bestFit="1" customWidth="1"/>
    <col min="9981" max="9981" width="24.28515625" style="123" customWidth="1"/>
    <col min="9982" max="9982" width="9.42578125" style="123" customWidth="1"/>
    <col min="9983" max="9983" width="9.7109375" style="123" customWidth="1"/>
    <col min="9984" max="9984" width="12" style="123" customWidth="1"/>
    <col min="9985" max="9985" width="14.5703125" style="123" customWidth="1"/>
    <col min="9986" max="9986" width="6.28515625" style="123" customWidth="1"/>
    <col min="9987" max="9987" width="8.140625" style="123" customWidth="1"/>
    <col min="9988" max="10235" width="9.140625" style="123"/>
    <col min="10236" max="10236" width="6.42578125" style="123" bestFit="1" customWidth="1"/>
    <col min="10237" max="10237" width="24.28515625" style="123" customWidth="1"/>
    <col min="10238" max="10238" width="9.42578125" style="123" customWidth="1"/>
    <col min="10239" max="10239" width="9.7109375" style="123" customWidth="1"/>
    <col min="10240" max="10240" width="12" style="123" customWidth="1"/>
    <col min="10241" max="10241" width="14.5703125" style="123" customWidth="1"/>
    <col min="10242" max="10242" width="6.28515625" style="123" customWidth="1"/>
    <col min="10243" max="10243" width="8.140625" style="123" customWidth="1"/>
    <col min="10244" max="10491" width="9.140625" style="123"/>
    <col min="10492" max="10492" width="6.42578125" style="123" bestFit="1" customWidth="1"/>
    <col min="10493" max="10493" width="24.28515625" style="123" customWidth="1"/>
    <col min="10494" max="10494" width="9.42578125" style="123" customWidth="1"/>
    <col min="10495" max="10495" width="9.7109375" style="123" customWidth="1"/>
    <col min="10496" max="10496" width="12" style="123" customWidth="1"/>
    <col min="10497" max="10497" width="14.5703125" style="123" customWidth="1"/>
    <col min="10498" max="10498" width="6.28515625" style="123" customWidth="1"/>
    <col min="10499" max="10499" width="8.140625" style="123" customWidth="1"/>
    <col min="10500" max="10747" width="9.140625" style="123"/>
    <col min="10748" max="10748" width="6.42578125" style="123" bestFit="1" customWidth="1"/>
    <col min="10749" max="10749" width="24.28515625" style="123" customWidth="1"/>
    <col min="10750" max="10750" width="9.42578125" style="123" customWidth="1"/>
    <col min="10751" max="10751" width="9.7109375" style="123" customWidth="1"/>
    <col min="10752" max="10752" width="12" style="123" customWidth="1"/>
    <col min="10753" max="10753" width="14.5703125" style="123" customWidth="1"/>
    <col min="10754" max="10754" width="6.28515625" style="123" customWidth="1"/>
    <col min="10755" max="10755" width="8.140625" style="123" customWidth="1"/>
    <col min="10756" max="11003" width="9.140625" style="123"/>
    <col min="11004" max="11004" width="6.42578125" style="123" bestFit="1" customWidth="1"/>
    <col min="11005" max="11005" width="24.28515625" style="123" customWidth="1"/>
    <col min="11006" max="11006" width="9.42578125" style="123" customWidth="1"/>
    <col min="11007" max="11007" width="9.7109375" style="123" customWidth="1"/>
    <col min="11008" max="11008" width="12" style="123" customWidth="1"/>
    <col min="11009" max="11009" width="14.5703125" style="123" customWidth="1"/>
    <col min="11010" max="11010" width="6.28515625" style="123" customWidth="1"/>
    <col min="11011" max="11011" width="8.140625" style="123" customWidth="1"/>
    <col min="11012" max="11259" width="9.140625" style="123"/>
    <col min="11260" max="11260" width="6.42578125" style="123" bestFit="1" customWidth="1"/>
    <col min="11261" max="11261" width="24.28515625" style="123" customWidth="1"/>
    <col min="11262" max="11262" width="9.42578125" style="123" customWidth="1"/>
    <col min="11263" max="11263" width="9.7109375" style="123" customWidth="1"/>
    <col min="11264" max="11264" width="12" style="123" customWidth="1"/>
    <col min="11265" max="11265" width="14.5703125" style="123" customWidth="1"/>
    <col min="11266" max="11266" width="6.28515625" style="123" customWidth="1"/>
    <col min="11267" max="11267" width="8.140625" style="123" customWidth="1"/>
    <col min="11268" max="11515" width="9.140625" style="123"/>
    <col min="11516" max="11516" width="6.42578125" style="123" bestFit="1" customWidth="1"/>
    <col min="11517" max="11517" width="24.28515625" style="123" customWidth="1"/>
    <col min="11518" max="11518" width="9.42578125" style="123" customWidth="1"/>
    <col min="11519" max="11519" width="9.7109375" style="123" customWidth="1"/>
    <col min="11520" max="11520" width="12" style="123" customWidth="1"/>
    <col min="11521" max="11521" width="14.5703125" style="123" customWidth="1"/>
    <col min="11522" max="11522" width="6.28515625" style="123" customWidth="1"/>
    <col min="11523" max="11523" width="8.140625" style="123" customWidth="1"/>
    <col min="11524" max="11771" width="9.140625" style="123"/>
    <col min="11772" max="11772" width="6.42578125" style="123" bestFit="1" customWidth="1"/>
    <col min="11773" max="11773" width="24.28515625" style="123" customWidth="1"/>
    <col min="11774" max="11774" width="9.42578125" style="123" customWidth="1"/>
    <col min="11775" max="11775" width="9.7109375" style="123" customWidth="1"/>
    <col min="11776" max="11776" width="12" style="123" customWidth="1"/>
    <col min="11777" max="11777" width="14.5703125" style="123" customWidth="1"/>
    <col min="11778" max="11778" width="6.28515625" style="123" customWidth="1"/>
    <col min="11779" max="11779" width="8.140625" style="123" customWidth="1"/>
    <col min="11780" max="12027" width="9.140625" style="123"/>
    <col min="12028" max="12028" width="6.42578125" style="123" bestFit="1" customWidth="1"/>
    <col min="12029" max="12029" width="24.28515625" style="123" customWidth="1"/>
    <col min="12030" max="12030" width="9.42578125" style="123" customWidth="1"/>
    <col min="12031" max="12031" width="9.7109375" style="123" customWidth="1"/>
    <col min="12032" max="12032" width="12" style="123" customWidth="1"/>
    <col min="12033" max="12033" width="14.5703125" style="123" customWidth="1"/>
    <col min="12034" max="12034" width="6.28515625" style="123" customWidth="1"/>
    <col min="12035" max="12035" width="8.140625" style="123" customWidth="1"/>
    <col min="12036" max="12283" width="9.140625" style="123"/>
    <col min="12284" max="12284" width="6.42578125" style="123" bestFit="1" customWidth="1"/>
    <col min="12285" max="12285" width="24.28515625" style="123" customWidth="1"/>
    <col min="12286" max="12286" width="9.42578125" style="123" customWidth="1"/>
    <col min="12287" max="12287" width="9.7109375" style="123" customWidth="1"/>
    <col min="12288" max="12288" width="12" style="123" customWidth="1"/>
    <col min="12289" max="12289" width="14.5703125" style="123" customWidth="1"/>
    <col min="12290" max="12290" width="6.28515625" style="123" customWidth="1"/>
    <col min="12291" max="12291" width="8.140625" style="123" customWidth="1"/>
    <col min="12292" max="12539" width="9.140625" style="123"/>
    <col min="12540" max="12540" width="6.42578125" style="123" bestFit="1" customWidth="1"/>
    <col min="12541" max="12541" width="24.28515625" style="123" customWidth="1"/>
    <col min="12542" max="12542" width="9.42578125" style="123" customWidth="1"/>
    <col min="12543" max="12543" width="9.7109375" style="123" customWidth="1"/>
    <col min="12544" max="12544" width="12" style="123" customWidth="1"/>
    <col min="12545" max="12545" width="14.5703125" style="123" customWidth="1"/>
    <col min="12546" max="12546" width="6.28515625" style="123" customWidth="1"/>
    <col min="12547" max="12547" width="8.140625" style="123" customWidth="1"/>
    <col min="12548" max="12795" width="9.140625" style="123"/>
    <col min="12796" max="12796" width="6.42578125" style="123" bestFit="1" customWidth="1"/>
    <col min="12797" max="12797" width="24.28515625" style="123" customWidth="1"/>
    <col min="12798" max="12798" width="9.42578125" style="123" customWidth="1"/>
    <col min="12799" max="12799" width="9.7109375" style="123" customWidth="1"/>
    <col min="12800" max="12800" width="12" style="123" customWidth="1"/>
    <col min="12801" max="12801" width="14.5703125" style="123" customWidth="1"/>
    <col min="12802" max="12802" width="6.28515625" style="123" customWidth="1"/>
    <col min="12803" max="12803" width="8.140625" style="123" customWidth="1"/>
    <col min="12804" max="13051" width="9.140625" style="123"/>
    <col min="13052" max="13052" width="6.42578125" style="123" bestFit="1" customWidth="1"/>
    <col min="13053" max="13053" width="24.28515625" style="123" customWidth="1"/>
    <col min="13054" max="13054" width="9.42578125" style="123" customWidth="1"/>
    <col min="13055" max="13055" width="9.7109375" style="123" customWidth="1"/>
    <col min="13056" max="13056" width="12" style="123" customWidth="1"/>
    <col min="13057" max="13057" width="14.5703125" style="123" customWidth="1"/>
    <col min="13058" max="13058" width="6.28515625" style="123" customWidth="1"/>
    <col min="13059" max="13059" width="8.140625" style="123" customWidth="1"/>
    <col min="13060" max="13307" width="9.140625" style="123"/>
    <col min="13308" max="13308" width="6.42578125" style="123" bestFit="1" customWidth="1"/>
    <col min="13309" max="13309" width="24.28515625" style="123" customWidth="1"/>
    <col min="13310" max="13310" width="9.42578125" style="123" customWidth="1"/>
    <col min="13311" max="13311" width="9.7109375" style="123" customWidth="1"/>
    <col min="13312" max="13312" width="12" style="123" customWidth="1"/>
    <col min="13313" max="13313" width="14.5703125" style="123" customWidth="1"/>
    <col min="13314" max="13314" width="6.28515625" style="123" customWidth="1"/>
    <col min="13315" max="13315" width="8.140625" style="123" customWidth="1"/>
    <col min="13316" max="13563" width="9.140625" style="123"/>
    <col min="13564" max="13564" width="6.42578125" style="123" bestFit="1" customWidth="1"/>
    <col min="13565" max="13565" width="24.28515625" style="123" customWidth="1"/>
    <col min="13566" max="13566" width="9.42578125" style="123" customWidth="1"/>
    <col min="13567" max="13567" width="9.7109375" style="123" customWidth="1"/>
    <col min="13568" max="13568" width="12" style="123" customWidth="1"/>
    <col min="13569" max="13569" width="14.5703125" style="123" customWidth="1"/>
    <col min="13570" max="13570" width="6.28515625" style="123" customWidth="1"/>
    <col min="13571" max="13571" width="8.140625" style="123" customWidth="1"/>
    <col min="13572" max="13819" width="9.140625" style="123"/>
    <col min="13820" max="13820" width="6.42578125" style="123" bestFit="1" customWidth="1"/>
    <col min="13821" max="13821" width="24.28515625" style="123" customWidth="1"/>
    <col min="13822" max="13822" width="9.42578125" style="123" customWidth="1"/>
    <col min="13823" max="13823" width="9.7109375" style="123" customWidth="1"/>
    <col min="13824" max="13824" width="12" style="123" customWidth="1"/>
    <col min="13825" max="13825" width="14.5703125" style="123" customWidth="1"/>
    <col min="13826" max="13826" width="6.28515625" style="123" customWidth="1"/>
    <col min="13827" max="13827" width="8.140625" style="123" customWidth="1"/>
    <col min="13828" max="14075" width="9.140625" style="123"/>
    <col min="14076" max="14076" width="6.42578125" style="123" bestFit="1" customWidth="1"/>
    <col min="14077" max="14077" width="24.28515625" style="123" customWidth="1"/>
    <col min="14078" max="14078" width="9.42578125" style="123" customWidth="1"/>
    <col min="14079" max="14079" width="9.7109375" style="123" customWidth="1"/>
    <col min="14080" max="14080" width="12" style="123" customWidth="1"/>
    <col min="14081" max="14081" width="14.5703125" style="123" customWidth="1"/>
    <col min="14082" max="14082" width="6.28515625" style="123" customWidth="1"/>
    <col min="14083" max="14083" width="8.140625" style="123" customWidth="1"/>
    <col min="14084" max="14331" width="9.140625" style="123"/>
    <col min="14332" max="14332" width="6.42578125" style="123" bestFit="1" customWidth="1"/>
    <col min="14333" max="14333" width="24.28515625" style="123" customWidth="1"/>
    <col min="14334" max="14334" width="9.42578125" style="123" customWidth="1"/>
    <col min="14335" max="14335" width="9.7109375" style="123" customWidth="1"/>
    <col min="14336" max="14336" width="12" style="123" customWidth="1"/>
    <col min="14337" max="14337" width="14.5703125" style="123" customWidth="1"/>
    <col min="14338" max="14338" width="6.28515625" style="123" customWidth="1"/>
    <col min="14339" max="14339" width="8.140625" style="123" customWidth="1"/>
    <col min="14340" max="14587" width="9.140625" style="123"/>
    <col min="14588" max="14588" width="6.42578125" style="123" bestFit="1" customWidth="1"/>
    <col min="14589" max="14589" width="24.28515625" style="123" customWidth="1"/>
    <col min="14590" max="14590" width="9.42578125" style="123" customWidth="1"/>
    <col min="14591" max="14591" width="9.7109375" style="123" customWidth="1"/>
    <col min="14592" max="14592" width="12" style="123" customWidth="1"/>
    <col min="14593" max="14593" width="14.5703125" style="123" customWidth="1"/>
    <col min="14594" max="14594" width="6.28515625" style="123" customWidth="1"/>
    <col min="14595" max="14595" width="8.140625" style="123" customWidth="1"/>
    <col min="14596" max="14843" width="9.140625" style="123"/>
    <col min="14844" max="14844" width="6.42578125" style="123" bestFit="1" customWidth="1"/>
    <col min="14845" max="14845" width="24.28515625" style="123" customWidth="1"/>
    <col min="14846" max="14846" width="9.42578125" style="123" customWidth="1"/>
    <col min="14847" max="14847" width="9.7109375" style="123" customWidth="1"/>
    <col min="14848" max="14848" width="12" style="123" customWidth="1"/>
    <col min="14849" max="14849" width="14.5703125" style="123" customWidth="1"/>
    <col min="14850" max="14850" width="6.28515625" style="123" customWidth="1"/>
    <col min="14851" max="14851" width="8.140625" style="123" customWidth="1"/>
    <col min="14852" max="15099" width="9.140625" style="123"/>
    <col min="15100" max="15100" width="6.42578125" style="123" bestFit="1" customWidth="1"/>
    <col min="15101" max="15101" width="24.28515625" style="123" customWidth="1"/>
    <col min="15102" max="15102" width="9.42578125" style="123" customWidth="1"/>
    <col min="15103" max="15103" width="9.7109375" style="123" customWidth="1"/>
    <col min="15104" max="15104" width="12" style="123" customWidth="1"/>
    <col min="15105" max="15105" width="14.5703125" style="123" customWidth="1"/>
    <col min="15106" max="15106" width="6.28515625" style="123" customWidth="1"/>
    <col min="15107" max="15107" width="8.140625" style="123" customWidth="1"/>
    <col min="15108" max="15355" width="9.140625" style="123"/>
    <col min="15356" max="15356" width="6.42578125" style="123" bestFit="1" customWidth="1"/>
    <col min="15357" max="15357" width="24.28515625" style="123" customWidth="1"/>
    <col min="15358" max="15358" width="9.42578125" style="123" customWidth="1"/>
    <col min="15359" max="15359" width="9.7109375" style="123" customWidth="1"/>
    <col min="15360" max="15360" width="12" style="123" customWidth="1"/>
    <col min="15361" max="15361" width="14.5703125" style="123" customWidth="1"/>
    <col min="15362" max="15362" width="6.28515625" style="123" customWidth="1"/>
    <col min="15363" max="15363" width="8.140625" style="123" customWidth="1"/>
    <col min="15364" max="15611" width="9.140625" style="123"/>
    <col min="15612" max="15612" width="6.42578125" style="123" bestFit="1" customWidth="1"/>
    <col min="15613" max="15613" width="24.28515625" style="123" customWidth="1"/>
    <col min="15614" max="15614" width="9.42578125" style="123" customWidth="1"/>
    <col min="15615" max="15615" width="9.7109375" style="123" customWidth="1"/>
    <col min="15616" max="15616" width="12" style="123" customWidth="1"/>
    <col min="15617" max="15617" width="14.5703125" style="123" customWidth="1"/>
    <col min="15618" max="15618" width="6.28515625" style="123" customWidth="1"/>
    <col min="15619" max="15619" width="8.140625" style="123" customWidth="1"/>
    <col min="15620" max="15867" width="9.140625" style="123"/>
    <col min="15868" max="15868" width="6.42578125" style="123" bestFit="1" customWidth="1"/>
    <col min="15869" max="15869" width="24.28515625" style="123" customWidth="1"/>
    <col min="15870" max="15870" width="9.42578125" style="123" customWidth="1"/>
    <col min="15871" max="15871" width="9.7109375" style="123" customWidth="1"/>
    <col min="15872" max="15872" width="12" style="123" customWidth="1"/>
    <col min="15873" max="15873" width="14.5703125" style="123" customWidth="1"/>
    <col min="15874" max="15874" width="6.28515625" style="123" customWidth="1"/>
    <col min="15875" max="15875" width="8.140625" style="123" customWidth="1"/>
    <col min="15876" max="16123" width="9.140625" style="123"/>
    <col min="16124" max="16124" width="6.42578125" style="123" bestFit="1" customWidth="1"/>
    <col min="16125" max="16125" width="24.28515625" style="123" customWidth="1"/>
    <col min="16126" max="16126" width="9.42578125" style="123" customWidth="1"/>
    <col min="16127" max="16127" width="9.7109375" style="123" customWidth="1"/>
    <col min="16128" max="16128" width="12" style="123" customWidth="1"/>
    <col min="16129" max="16129" width="14.5703125" style="123" customWidth="1"/>
    <col min="16130" max="16130" width="6.28515625" style="123" customWidth="1"/>
    <col min="16131" max="16131" width="8.140625" style="123" customWidth="1"/>
    <col min="16132" max="16384" width="9.140625" style="123"/>
  </cols>
  <sheetData>
    <row r="1" spans="1:9" ht="15.75">
      <c r="A1" s="715" t="s">
        <v>157</v>
      </c>
      <c r="B1" s="715"/>
      <c r="C1" s="715"/>
      <c r="D1" s="715"/>
      <c r="E1" s="715"/>
      <c r="F1" s="715"/>
      <c r="G1" s="715"/>
      <c r="H1" s="715"/>
    </row>
    <row r="2" spans="1:9" ht="16.5" thickBot="1">
      <c r="A2" s="124"/>
      <c r="B2" s="124" t="s">
        <v>384</v>
      </c>
      <c r="C2" s="124"/>
      <c r="D2" s="124"/>
      <c r="E2" s="124"/>
      <c r="F2" s="124"/>
      <c r="G2" s="124"/>
      <c r="H2" s="124"/>
    </row>
    <row r="3" spans="1:9" ht="30" customHeight="1">
      <c r="A3" s="134" t="s">
        <v>158</v>
      </c>
      <c r="B3" s="135" t="s">
        <v>0</v>
      </c>
      <c r="C3" s="135" t="s">
        <v>159</v>
      </c>
      <c r="D3" s="135" t="s">
        <v>160</v>
      </c>
      <c r="E3" s="135" t="s">
        <v>161</v>
      </c>
      <c r="F3" s="135" t="s">
        <v>162</v>
      </c>
      <c r="G3" s="716" t="s">
        <v>163</v>
      </c>
      <c r="H3" s="716"/>
      <c r="I3" s="306"/>
    </row>
    <row r="4" spans="1:9" ht="30.95" customHeight="1">
      <c r="A4" s="125">
        <v>1</v>
      </c>
      <c r="B4" s="126" t="s">
        <v>313</v>
      </c>
      <c r="C4" s="127" t="s">
        <v>164</v>
      </c>
      <c r="D4" s="128">
        <v>4</v>
      </c>
      <c r="E4" s="129">
        <v>52.51</v>
      </c>
      <c r="F4" s="130">
        <f>ROUND(((E4*D4)),2)</f>
        <v>210.04</v>
      </c>
      <c r="G4" s="708">
        <f t="shared" ref="G4:G9" si="0">F4/12</f>
        <v>17.503333333333334</v>
      </c>
      <c r="H4" s="709"/>
      <c r="I4" s="306"/>
    </row>
    <row r="5" spans="1:9" ht="30.95" customHeight="1">
      <c r="A5" s="125">
        <v>2</v>
      </c>
      <c r="B5" s="126" t="s">
        <v>314</v>
      </c>
      <c r="C5" s="127" t="s">
        <v>164</v>
      </c>
      <c r="D5" s="128">
        <v>4</v>
      </c>
      <c r="E5" s="129">
        <v>26.48</v>
      </c>
      <c r="F5" s="130">
        <f>ROUND(((E5*D5)),2)</f>
        <v>105.92</v>
      </c>
      <c r="G5" s="708">
        <f t="shared" si="0"/>
        <v>8.8266666666666662</v>
      </c>
      <c r="H5" s="709"/>
      <c r="I5" s="306"/>
    </row>
    <row r="6" spans="1:9" ht="45" customHeight="1">
      <c r="A6" s="125">
        <v>3</v>
      </c>
      <c r="B6" s="126" t="s">
        <v>315</v>
      </c>
      <c r="C6" s="127" t="s">
        <v>165</v>
      </c>
      <c r="D6" s="128">
        <v>2</v>
      </c>
      <c r="E6" s="129">
        <v>22.72</v>
      </c>
      <c r="F6" s="130">
        <f>ROUND(((E6*D6)),2)</f>
        <v>45.44</v>
      </c>
      <c r="G6" s="708">
        <f t="shared" si="0"/>
        <v>3.7866666666666666</v>
      </c>
      <c r="H6" s="709"/>
      <c r="I6" s="306"/>
    </row>
    <row r="7" spans="1:9" ht="30.95" customHeight="1">
      <c r="A7" s="125">
        <v>4</v>
      </c>
      <c r="B7" s="126" t="s">
        <v>316</v>
      </c>
      <c r="C7" s="127" t="s">
        <v>165</v>
      </c>
      <c r="D7" s="128">
        <v>2</v>
      </c>
      <c r="E7" s="129">
        <v>64.14</v>
      </c>
      <c r="F7" s="130">
        <f>ROUND(((E7*D7)),2)</f>
        <v>128.28</v>
      </c>
      <c r="G7" s="708">
        <f t="shared" si="0"/>
        <v>10.69</v>
      </c>
      <c r="H7" s="709"/>
      <c r="I7" s="306"/>
    </row>
    <row r="8" spans="1:9" ht="30.95" customHeight="1">
      <c r="A8" s="125">
        <v>5</v>
      </c>
      <c r="B8" s="126" t="s">
        <v>317</v>
      </c>
      <c r="C8" s="127" t="s">
        <v>165</v>
      </c>
      <c r="D8" s="128">
        <v>2</v>
      </c>
      <c r="E8" s="129">
        <v>7.78</v>
      </c>
      <c r="F8" s="130">
        <f t="shared" ref="F8:F9" si="1">ROUND(((E8*D8)),2)</f>
        <v>15.56</v>
      </c>
      <c r="G8" s="708">
        <f t="shared" si="0"/>
        <v>1.2966666666666666</v>
      </c>
      <c r="H8" s="709"/>
      <c r="I8" s="306"/>
    </row>
    <row r="9" spans="1:9" ht="30.95" customHeight="1">
      <c r="A9" s="125">
        <v>6</v>
      </c>
      <c r="B9" s="126" t="s">
        <v>166</v>
      </c>
      <c r="C9" s="127" t="s">
        <v>164</v>
      </c>
      <c r="D9" s="128">
        <v>2</v>
      </c>
      <c r="E9" s="129">
        <v>2.29</v>
      </c>
      <c r="F9" s="130">
        <f t="shared" si="1"/>
        <v>4.58</v>
      </c>
      <c r="G9" s="708">
        <f t="shared" si="0"/>
        <v>0.38166666666666665</v>
      </c>
      <c r="H9" s="709"/>
      <c r="I9" s="306"/>
    </row>
    <row r="10" spans="1:9" ht="30.95" customHeight="1" thickBot="1">
      <c r="A10" s="710" t="s">
        <v>33</v>
      </c>
      <c r="B10" s="711"/>
      <c r="C10" s="711"/>
      <c r="D10" s="711"/>
      <c r="E10" s="712"/>
      <c r="F10" s="133">
        <f>SUM(F4:F9)</f>
        <v>509.81999999999994</v>
      </c>
      <c r="G10" s="713">
        <f>SUM(G4:H9)</f>
        <v>42.484999999999999</v>
      </c>
      <c r="H10" s="714"/>
      <c r="I10" s="306"/>
    </row>
    <row r="11" spans="1:9" ht="30.95" customHeight="1">
      <c r="I11" s="306"/>
    </row>
    <row r="12" spans="1:9">
      <c r="G12" s="132"/>
      <c r="H12" s="132"/>
    </row>
  </sheetData>
  <mergeCells count="10">
    <mergeCell ref="A1:H1"/>
    <mergeCell ref="G3:H3"/>
    <mergeCell ref="G4:H4"/>
    <mergeCell ref="G5:H5"/>
    <mergeCell ref="G6:H6"/>
    <mergeCell ref="G8:H8"/>
    <mergeCell ref="G9:H9"/>
    <mergeCell ref="A10:E10"/>
    <mergeCell ref="G10:H10"/>
    <mergeCell ref="G7:H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26"/>
  <sheetViews>
    <sheetView view="pageBreakPreview" zoomScale="85" zoomScaleNormal="100" zoomScaleSheetLayoutView="85" workbookViewId="0">
      <selection activeCell="A10" sqref="A10"/>
    </sheetView>
  </sheetViews>
  <sheetFormatPr defaultRowHeight="15"/>
  <cols>
    <col min="1" max="1" width="59.5703125" style="179" customWidth="1"/>
    <col min="2" max="2" width="14" style="179" customWidth="1"/>
    <col min="3" max="3" width="13" style="179" customWidth="1"/>
    <col min="4" max="4" width="18.5703125" style="179" customWidth="1"/>
    <col min="5" max="5" width="21.85546875" style="179" customWidth="1"/>
    <col min="6" max="6" width="25.28515625" style="179" bestFit="1" customWidth="1"/>
    <col min="7" max="7" width="21.140625" style="179" customWidth="1"/>
    <col min="8" max="13" width="9.140625" style="179" customWidth="1"/>
    <col min="14" max="256" width="9.140625" style="179"/>
    <col min="257" max="257" width="59.5703125" style="179" customWidth="1"/>
    <col min="258" max="258" width="14" style="179" customWidth="1"/>
    <col min="259" max="259" width="13" style="179" customWidth="1"/>
    <col min="260" max="260" width="18.5703125" style="179" customWidth="1"/>
    <col min="261" max="261" width="21.85546875" style="179" customWidth="1"/>
    <col min="262" max="262" width="25.28515625" style="179" bestFit="1" customWidth="1"/>
    <col min="263" max="263" width="21.140625" style="179" customWidth="1"/>
    <col min="264" max="269" width="9.140625" style="179" customWidth="1"/>
    <col min="270" max="512" width="9.140625" style="179"/>
    <col min="513" max="513" width="59.5703125" style="179" customWidth="1"/>
    <col min="514" max="514" width="14" style="179" customWidth="1"/>
    <col min="515" max="515" width="13" style="179" customWidth="1"/>
    <col min="516" max="516" width="18.5703125" style="179" customWidth="1"/>
    <col min="517" max="517" width="21.85546875" style="179" customWidth="1"/>
    <col min="518" max="518" width="25.28515625" style="179" bestFit="1" customWidth="1"/>
    <col min="519" max="519" width="21.140625" style="179" customWidth="1"/>
    <col min="520" max="525" width="9.140625" style="179" customWidth="1"/>
    <col min="526" max="768" width="9.140625" style="179"/>
    <col min="769" max="769" width="59.5703125" style="179" customWidth="1"/>
    <col min="770" max="770" width="14" style="179" customWidth="1"/>
    <col min="771" max="771" width="13" style="179" customWidth="1"/>
    <col min="772" max="772" width="18.5703125" style="179" customWidth="1"/>
    <col min="773" max="773" width="21.85546875" style="179" customWidth="1"/>
    <col min="774" max="774" width="25.28515625" style="179" bestFit="1" customWidth="1"/>
    <col min="775" max="775" width="21.140625" style="179" customWidth="1"/>
    <col min="776" max="781" width="9.140625" style="179" customWidth="1"/>
    <col min="782" max="1024" width="9.140625" style="179"/>
    <col min="1025" max="1025" width="59.5703125" style="179" customWidth="1"/>
    <col min="1026" max="1026" width="14" style="179" customWidth="1"/>
    <col min="1027" max="1027" width="13" style="179" customWidth="1"/>
    <col min="1028" max="1028" width="18.5703125" style="179" customWidth="1"/>
    <col min="1029" max="1029" width="21.85546875" style="179" customWidth="1"/>
    <col min="1030" max="1030" width="25.28515625" style="179" bestFit="1" customWidth="1"/>
    <col min="1031" max="1031" width="21.140625" style="179" customWidth="1"/>
    <col min="1032" max="1037" width="9.140625" style="179" customWidth="1"/>
    <col min="1038" max="1280" width="9.140625" style="179"/>
    <col min="1281" max="1281" width="59.5703125" style="179" customWidth="1"/>
    <col min="1282" max="1282" width="14" style="179" customWidth="1"/>
    <col min="1283" max="1283" width="13" style="179" customWidth="1"/>
    <col min="1284" max="1284" width="18.5703125" style="179" customWidth="1"/>
    <col min="1285" max="1285" width="21.85546875" style="179" customWidth="1"/>
    <col min="1286" max="1286" width="25.28515625" style="179" bestFit="1" customWidth="1"/>
    <col min="1287" max="1287" width="21.140625" style="179" customWidth="1"/>
    <col min="1288" max="1293" width="9.140625" style="179" customWidth="1"/>
    <col min="1294" max="1536" width="9.140625" style="179"/>
    <col min="1537" max="1537" width="59.5703125" style="179" customWidth="1"/>
    <col min="1538" max="1538" width="14" style="179" customWidth="1"/>
    <col min="1539" max="1539" width="13" style="179" customWidth="1"/>
    <col min="1540" max="1540" width="18.5703125" style="179" customWidth="1"/>
    <col min="1541" max="1541" width="21.85546875" style="179" customWidth="1"/>
    <col min="1542" max="1542" width="25.28515625" style="179" bestFit="1" customWidth="1"/>
    <col min="1543" max="1543" width="21.140625" style="179" customWidth="1"/>
    <col min="1544" max="1549" width="9.140625" style="179" customWidth="1"/>
    <col min="1550" max="1792" width="9.140625" style="179"/>
    <col min="1793" max="1793" width="59.5703125" style="179" customWidth="1"/>
    <col min="1794" max="1794" width="14" style="179" customWidth="1"/>
    <col min="1795" max="1795" width="13" style="179" customWidth="1"/>
    <col min="1796" max="1796" width="18.5703125" style="179" customWidth="1"/>
    <col min="1797" max="1797" width="21.85546875" style="179" customWidth="1"/>
    <col min="1798" max="1798" width="25.28515625" style="179" bestFit="1" customWidth="1"/>
    <col min="1799" max="1799" width="21.140625" style="179" customWidth="1"/>
    <col min="1800" max="1805" width="9.140625" style="179" customWidth="1"/>
    <col min="1806" max="2048" width="9.140625" style="179"/>
    <col min="2049" max="2049" width="59.5703125" style="179" customWidth="1"/>
    <col min="2050" max="2050" width="14" style="179" customWidth="1"/>
    <col min="2051" max="2051" width="13" style="179" customWidth="1"/>
    <col min="2052" max="2052" width="18.5703125" style="179" customWidth="1"/>
    <col min="2053" max="2053" width="21.85546875" style="179" customWidth="1"/>
    <col min="2054" max="2054" width="25.28515625" style="179" bestFit="1" customWidth="1"/>
    <col min="2055" max="2055" width="21.140625" style="179" customWidth="1"/>
    <col min="2056" max="2061" width="9.140625" style="179" customWidth="1"/>
    <col min="2062" max="2304" width="9.140625" style="179"/>
    <col min="2305" max="2305" width="59.5703125" style="179" customWidth="1"/>
    <col min="2306" max="2306" width="14" style="179" customWidth="1"/>
    <col min="2307" max="2307" width="13" style="179" customWidth="1"/>
    <col min="2308" max="2308" width="18.5703125" style="179" customWidth="1"/>
    <col min="2309" max="2309" width="21.85546875" style="179" customWidth="1"/>
    <col min="2310" max="2310" width="25.28515625" style="179" bestFit="1" customWidth="1"/>
    <col min="2311" max="2311" width="21.140625" style="179" customWidth="1"/>
    <col min="2312" max="2317" width="9.140625" style="179" customWidth="1"/>
    <col min="2318" max="2560" width="9.140625" style="179"/>
    <col min="2561" max="2561" width="59.5703125" style="179" customWidth="1"/>
    <col min="2562" max="2562" width="14" style="179" customWidth="1"/>
    <col min="2563" max="2563" width="13" style="179" customWidth="1"/>
    <col min="2564" max="2564" width="18.5703125" style="179" customWidth="1"/>
    <col min="2565" max="2565" width="21.85546875" style="179" customWidth="1"/>
    <col min="2566" max="2566" width="25.28515625" style="179" bestFit="1" customWidth="1"/>
    <col min="2567" max="2567" width="21.140625" style="179" customWidth="1"/>
    <col min="2568" max="2573" width="9.140625" style="179" customWidth="1"/>
    <col min="2574" max="2816" width="9.140625" style="179"/>
    <col min="2817" max="2817" width="59.5703125" style="179" customWidth="1"/>
    <col min="2818" max="2818" width="14" style="179" customWidth="1"/>
    <col min="2819" max="2819" width="13" style="179" customWidth="1"/>
    <col min="2820" max="2820" width="18.5703125" style="179" customWidth="1"/>
    <col min="2821" max="2821" width="21.85546875" style="179" customWidth="1"/>
    <col min="2822" max="2822" width="25.28515625" style="179" bestFit="1" customWidth="1"/>
    <col min="2823" max="2823" width="21.140625" style="179" customWidth="1"/>
    <col min="2824" max="2829" width="9.140625" style="179" customWidth="1"/>
    <col min="2830" max="3072" width="9.140625" style="179"/>
    <col min="3073" max="3073" width="59.5703125" style="179" customWidth="1"/>
    <col min="3074" max="3074" width="14" style="179" customWidth="1"/>
    <col min="3075" max="3075" width="13" style="179" customWidth="1"/>
    <col min="3076" max="3076" width="18.5703125" style="179" customWidth="1"/>
    <col min="3077" max="3077" width="21.85546875" style="179" customWidth="1"/>
    <col min="3078" max="3078" width="25.28515625" style="179" bestFit="1" customWidth="1"/>
    <col min="3079" max="3079" width="21.140625" style="179" customWidth="1"/>
    <col min="3080" max="3085" width="9.140625" style="179" customWidth="1"/>
    <col min="3086" max="3328" width="9.140625" style="179"/>
    <col min="3329" max="3329" width="59.5703125" style="179" customWidth="1"/>
    <col min="3330" max="3330" width="14" style="179" customWidth="1"/>
    <col min="3331" max="3331" width="13" style="179" customWidth="1"/>
    <col min="3332" max="3332" width="18.5703125" style="179" customWidth="1"/>
    <col min="3333" max="3333" width="21.85546875" style="179" customWidth="1"/>
    <col min="3334" max="3334" width="25.28515625" style="179" bestFit="1" customWidth="1"/>
    <col min="3335" max="3335" width="21.140625" style="179" customWidth="1"/>
    <col min="3336" max="3341" width="9.140625" style="179" customWidth="1"/>
    <col min="3342" max="3584" width="9.140625" style="179"/>
    <col min="3585" max="3585" width="59.5703125" style="179" customWidth="1"/>
    <col min="3586" max="3586" width="14" style="179" customWidth="1"/>
    <col min="3587" max="3587" width="13" style="179" customWidth="1"/>
    <col min="3588" max="3588" width="18.5703125" style="179" customWidth="1"/>
    <col min="3589" max="3589" width="21.85546875" style="179" customWidth="1"/>
    <col min="3590" max="3590" width="25.28515625" style="179" bestFit="1" customWidth="1"/>
    <col min="3591" max="3591" width="21.140625" style="179" customWidth="1"/>
    <col min="3592" max="3597" width="9.140625" style="179" customWidth="1"/>
    <col min="3598" max="3840" width="9.140625" style="179"/>
    <col min="3841" max="3841" width="59.5703125" style="179" customWidth="1"/>
    <col min="3842" max="3842" width="14" style="179" customWidth="1"/>
    <col min="3843" max="3843" width="13" style="179" customWidth="1"/>
    <col min="3844" max="3844" width="18.5703125" style="179" customWidth="1"/>
    <col min="3845" max="3845" width="21.85546875" style="179" customWidth="1"/>
    <col min="3846" max="3846" width="25.28515625" style="179" bestFit="1" customWidth="1"/>
    <col min="3847" max="3847" width="21.140625" style="179" customWidth="1"/>
    <col min="3848" max="3853" width="9.140625" style="179" customWidth="1"/>
    <col min="3854" max="4096" width="9.140625" style="179"/>
    <col min="4097" max="4097" width="59.5703125" style="179" customWidth="1"/>
    <col min="4098" max="4098" width="14" style="179" customWidth="1"/>
    <col min="4099" max="4099" width="13" style="179" customWidth="1"/>
    <col min="4100" max="4100" width="18.5703125" style="179" customWidth="1"/>
    <col min="4101" max="4101" width="21.85546875" style="179" customWidth="1"/>
    <col min="4102" max="4102" width="25.28515625" style="179" bestFit="1" customWidth="1"/>
    <col min="4103" max="4103" width="21.140625" style="179" customWidth="1"/>
    <col min="4104" max="4109" width="9.140625" style="179" customWidth="1"/>
    <col min="4110" max="4352" width="9.140625" style="179"/>
    <col min="4353" max="4353" width="59.5703125" style="179" customWidth="1"/>
    <col min="4354" max="4354" width="14" style="179" customWidth="1"/>
    <col min="4355" max="4355" width="13" style="179" customWidth="1"/>
    <col min="4356" max="4356" width="18.5703125" style="179" customWidth="1"/>
    <col min="4357" max="4357" width="21.85546875" style="179" customWidth="1"/>
    <col min="4358" max="4358" width="25.28515625" style="179" bestFit="1" customWidth="1"/>
    <col min="4359" max="4359" width="21.140625" style="179" customWidth="1"/>
    <col min="4360" max="4365" width="9.140625" style="179" customWidth="1"/>
    <col min="4366" max="4608" width="9.140625" style="179"/>
    <col min="4609" max="4609" width="59.5703125" style="179" customWidth="1"/>
    <col min="4610" max="4610" width="14" style="179" customWidth="1"/>
    <col min="4611" max="4611" width="13" style="179" customWidth="1"/>
    <col min="4612" max="4612" width="18.5703125" style="179" customWidth="1"/>
    <col min="4613" max="4613" width="21.85546875" style="179" customWidth="1"/>
    <col min="4614" max="4614" width="25.28515625" style="179" bestFit="1" customWidth="1"/>
    <col min="4615" max="4615" width="21.140625" style="179" customWidth="1"/>
    <col min="4616" max="4621" width="9.140625" style="179" customWidth="1"/>
    <col min="4622" max="4864" width="9.140625" style="179"/>
    <col min="4865" max="4865" width="59.5703125" style="179" customWidth="1"/>
    <col min="4866" max="4866" width="14" style="179" customWidth="1"/>
    <col min="4867" max="4867" width="13" style="179" customWidth="1"/>
    <col min="4868" max="4868" width="18.5703125" style="179" customWidth="1"/>
    <col min="4869" max="4869" width="21.85546875" style="179" customWidth="1"/>
    <col min="4870" max="4870" width="25.28515625" style="179" bestFit="1" customWidth="1"/>
    <col min="4871" max="4871" width="21.140625" style="179" customWidth="1"/>
    <col min="4872" max="4877" width="9.140625" style="179" customWidth="1"/>
    <col min="4878" max="5120" width="9.140625" style="179"/>
    <col min="5121" max="5121" width="59.5703125" style="179" customWidth="1"/>
    <col min="5122" max="5122" width="14" style="179" customWidth="1"/>
    <col min="5123" max="5123" width="13" style="179" customWidth="1"/>
    <col min="5124" max="5124" width="18.5703125" style="179" customWidth="1"/>
    <col min="5125" max="5125" width="21.85546875" style="179" customWidth="1"/>
    <col min="5126" max="5126" width="25.28515625" style="179" bestFit="1" customWidth="1"/>
    <col min="5127" max="5127" width="21.140625" style="179" customWidth="1"/>
    <col min="5128" max="5133" width="9.140625" style="179" customWidth="1"/>
    <col min="5134" max="5376" width="9.140625" style="179"/>
    <col min="5377" max="5377" width="59.5703125" style="179" customWidth="1"/>
    <col min="5378" max="5378" width="14" style="179" customWidth="1"/>
    <col min="5379" max="5379" width="13" style="179" customWidth="1"/>
    <col min="5380" max="5380" width="18.5703125" style="179" customWidth="1"/>
    <col min="5381" max="5381" width="21.85546875" style="179" customWidth="1"/>
    <col min="5382" max="5382" width="25.28515625" style="179" bestFit="1" customWidth="1"/>
    <col min="5383" max="5383" width="21.140625" style="179" customWidth="1"/>
    <col min="5384" max="5389" width="9.140625" style="179" customWidth="1"/>
    <col min="5390" max="5632" width="9.140625" style="179"/>
    <col min="5633" max="5633" width="59.5703125" style="179" customWidth="1"/>
    <col min="5634" max="5634" width="14" style="179" customWidth="1"/>
    <col min="5635" max="5635" width="13" style="179" customWidth="1"/>
    <col min="5636" max="5636" width="18.5703125" style="179" customWidth="1"/>
    <col min="5637" max="5637" width="21.85546875" style="179" customWidth="1"/>
    <col min="5638" max="5638" width="25.28515625" style="179" bestFit="1" customWidth="1"/>
    <col min="5639" max="5639" width="21.140625" style="179" customWidth="1"/>
    <col min="5640" max="5645" width="9.140625" style="179" customWidth="1"/>
    <col min="5646" max="5888" width="9.140625" style="179"/>
    <col min="5889" max="5889" width="59.5703125" style="179" customWidth="1"/>
    <col min="5890" max="5890" width="14" style="179" customWidth="1"/>
    <col min="5891" max="5891" width="13" style="179" customWidth="1"/>
    <col min="5892" max="5892" width="18.5703125" style="179" customWidth="1"/>
    <col min="5893" max="5893" width="21.85546875" style="179" customWidth="1"/>
    <col min="5894" max="5894" width="25.28515625" style="179" bestFit="1" customWidth="1"/>
    <col min="5895" max="5895" width="21.140625" style="179" customWidth="1"/>
    <col min="5896" max="5901" width="9.140625" style="179" customWidth="1"/>
    <col min="5902" max="6144" width="9.140625" style="179"/>
    <col min="6145" max="6145" width="59.5703125" style="179" customWidth="1"/>
    <col min="6146" max="6146" width="14" style="179" customWidth="1"/>
    <col min="6147" max="6147" width="13" style="179" customWidth="1"/>
    <col min="6148" max="6148" width="18.5703125" style="179" customWidth="1"/>
    <col min="6149" max="6149" width="21.85546875" style="179" customWidth="1"/>
    <col min="6150" max="6150" width="25.28515625" style="179" bestFit="1" customWidth="1"/>
    <col min="6151" max="6151" width="21.140625" style="179" customWidth="1"/>
    <col min="6152" max="6157" width="9.140625" style="179" customWidth="1"/>
    <col min="6158" max="6400" width="9.140625" style="179"/>
    <col min="6401" max="6401" width="59.5703125" style="179" customWidth="1"/>
    <col min="6402" max="6402" width="14" style="179" customWidth="1"/>
    <col min="6403" max="6403" width="13" style="179" customWidth="1"/>
    <col min="6404" max="6404" width="18.5703125" style="179" customWidth="1"/>
    <col min="6405" max="6405" width="21.85546875" style="179" customWidth="1"/>
    <col min="6406" max="6406" width="25.28515625" style="179" bestFit="1" customWidth="1"/>
    <col min="6407" max="6407" width="21.140625" style="179" customWidth="1"/>
    <col min="6408" max="6413" width="9.140625" style="179" customWidth="1"/>
    <col min="6414" max="6656" width="9.140625" style="179"/>
    <col min="6657" max="6657" width="59.5703125" style="179" customWidth="1"/>
    <col min="6658" max="6658" width="14" style="179" customWidth="1"/>
    <col min="6659" max="6659" width="13" style="179" customWidth="1"/>
    <col min="6660" max="6660" width="18.5703125" style="179" customWidth="1"/>
    <col min="6661" max="6661" width="21.85546875" style="179" customWidth="1"/>
    <col min="6662" max="6662" width="25.28515625" style="179" bestFit="1" customWidth="1"/>
    <col min="6663" max="6663" width="21.140625" style="179" customWidth="1"/>
    <col min="6664" max="6669" width="9.140625" style="179" customWidth="1"/>
    <col min="6670" max="6912" width="9.140625" style="179"/>
    <col min="6913" max="6913" width="59.5703125" style="179" customWidth="1"/>
    <col min="6914" max="6914" width="14" style="179" customWidth="1"/>
    <col min="6915" max="6915" width="13" style="179" customWidth="1"/>
    <col min="6916" max="6916" width="18.5703125" style="179" customWidth="1"/>
    <col min="6917" max="6917" width="21.85546875" style="179" customWidth="1"/>
    <col min="6918" max="6918" width="25.28515625" style="179" bestFit="1" customWidth="1"/>
    <col min="6919" max="6919" width="21.140625" style="179" customWidth="1"/>
    <col min="6920" max="6925" width="9.140625" style="179" customWidth="1"/>
    <col min="6926" max="7168" width="9.140625" style="179"/>
    <col min="7169" max="7169" width="59.5703125" style="179" customWidth="1"/>
    <col min="7170" max="7170" width="14" style="179" customWidth="1"/>
    <col min="7171" max="7171" width="13" style="179" customWidth="1"/>
    <col min="7172" max="7172" width="18.5703125" style="179" customWidth="1"/>
    <col min="7173" max="7173" width="21.85546875" style="179" customWidth="1"/>
    <col min="7174" max="7174" width="25.28515625" style="179" bestFit="1" customWidth="1"/>
    <col min="7175" max="7175" width="21.140625" style="179" customWidth="1"/>
    <col min="7176" max="7181" width="9.140625" style="179" customWidth="1"/>
    <col min="7182" max="7424" width="9.140625" style="179"/>
    <col min="7425" max="7425" width="59.5703125" style="179" customWidth="1"/>
    <col min="7426" max="7426" width="14" style="179" customWidth="1"/>
    <col min="7427" max="7427" width="13" style="179" customWidth="1"/>
    <col min="7428" max="7428" width="18.5703125" style="179" customWidth="1"/>
    <col min="7429" max="7429" width="21.85546875" style="179" customWidth="1"/>
    <col min="7430" max="7430" width="25.28515625" style="179" bestFit="1" customWidth="1"/>
    <col min="7431" max="7431" width="21.140625" style="179" customWidth="1"/>
    <col min="7432" max="7437" width="9.140625" style="179" customWidth="1"/>
    <col min="7438" max="7680" width="9.140625" style="179"/>
    <col min="7681" max="7681" width="59.5703125" style="179" customWidth="1"/>
    <col min="7682" max="7682" width="14" style="179" customWidth="1"/>
    <col min="7683" max="7683" width="13" style="179" customWidth="1"/>
    <col min="7684" max="7684" width="18.5703125" style="179" customWidth="1"/>
    <col min="7685" max="7685" width="21.85546875" style="179" customWidth="1"/>
    <col min="7686" max="7686" width="25.28515625" style="179" bestFit="1" customWidth="1"/>
    <col min="7687" max="7687" width="21.140625" style="179" customWidth="1"/>
    <col min="7688" max="7693" width="9.140625" style="179" customWidth="1"/>
    <col min="7694" max="7936" width="9.140625" style="179"/>
    <col min="7937" max="7937" width="59.5703125" style="179" customWidth="1"/>
    <col min="7938" max="7938" width="14" style="179" customWidth="1"/>
    <col min="7939" max="7939" width="13" style="179" customWidth="1"/>
    <col min="7940" max="7940" width="18.5703125" style="179" customWidth="1"/>
    <col min="7941" max="7941" width="21.85546875" style="179" customWidth="1"/>
    <col min="7942" max="7942" width="25.28515625" style="179" bestFit="1" customWidth="1"/>
    <col min="7943" max="7943" width="21.140625" style="179" customWidth="1"/>
    <col min="7944" max="7949" width="9.140625" style="179" customWidth="1"/>
    <col min="7950" max="8192" width="9.140625" style="179"/>
    <col min="8193" max="8193" width="59.5703125" style="179" customWidth="1"/>
    <col min="8194" max="8194" width="14" style="179" customWidth="1"/>
    <col min="8195" max="8195" width="13" style="179" customWidth="1"/>
    <col min="8196" max="8196" width="18.5703125" style="179" customWidth="1"/>
    <col min="8197" max="8197" width="21.85546875" style="179" customWidth="1"/>
    <col min="8198" max="8198" width="25.28515625" style="179" bestFit="1" customWidth="1"/>
    <col min="8199" max="8199" width="21.140625" style="179" customWidth="1"/>
    <col min="8200" max="8205" width="9.140625" style="179" customWidth="1"/>
    <col min="8206" max="8448" width="9.140625" style="179"/>
    <col min="8449" max="8449" width="59.5703125" style="179" customWidth="1"/>
    <col min="8450" max="8450" width="14" style="179" customWidth="1"/>
    <col min="8451" max="8451" width="13" style="179" customWidth="1"/>
    <col min="8452" max="8452" width="18.5703125" style="179" customWidth="1"/>
    <col min="8453" max="8453" width="21.85546875" style="179" customWidth="1"/>
    <col min="8454" max="8454" width="25.28515625" style="179" bestFit="1" customWidth="1"/>
    <col min="8455" max="8455" width="21.140625" style="179" customWidth="1"/>
    <col min="8456" max="8461" width="9.140625" style="179" customWidth="1"/>
    <col min="8462" max="8704" width="9.140625" style="179"/>
    <col min="8705" max="8705" width="59.5703125" style="179" customWidth="1"/>
    <col min="8706" max="8706" width="14" style="179" customWidth="1"/>
    <col min="8707" max="8707" width="13" style="179" customWidth="1"/>
    <col min="8708" max="8708" width="18.5703125" style="179" customWidth="1"/>
    <col min="8709" max="8709" width="21.85546875" style="179" customWidth="1"/>
    <col min="8710" max="8710" width="25.28515625" style="179" bestFit="1" customWidth="1"/>
    <col min="8711" max="8711" width="21.140625" style="179" customWidth="1"/>
    <col min="8712" max="8717" width="9.140625" style="179" customWidth="1"/>
    <col min="8718" max="8960" width="9.140625" style="179"/>
    <col min="8961" max="8961" width="59.5703125" style="179" customWidth="1"/>
    <col min="8962" max="8962" width="14" style="179" customWidth="1"/>
    <col min="8963" max="8963" width="13" style="179" customWidth="1"/>
    <col min="8964" max="8964" width="18.5703125" style="179" customWidth="1"/>
    <col min="8965" max="8965" width="21.85546875" style="179" customWidth="1"/>
    <col min="8966" max="8966" width="25.28515625" style="179" bestFit="1" customWidth="1"/>
    <col min="8967" max="8967" width="21.140625" style="179" customWidth="1"/>
    <col min="8968" max="8973" width="9.140625" style="179" customWidth="1"/>
    <col min="8974" max="9216" width="9.140625" style="179"/>
    <col min="9217" max="9217" width="59.5703125" style="179" customWidth="1"/>
    <col min="9218" max="9218" width="14" style="179" customWidth="1"/>
    <col min="9219" max="9219" width="13" style="179" customWidth="1"/>
    <col min="9220" max="9220" width="18.5703125" style="179" customWidth="1"/>
    <col min="9221" max="9221" width="21.85546875" style="179" customWidth="1"/>
    <col min="9222" max="9222" width="25.28515625" style="179" bestFit="1" customWidth="1"/>
    <col min="9223" max="9223" width="21.140625" style="179" customWidth="1"/>
    <col min="9224" max="9229" width="9.140625" style="179" customWidth="1"/>
    <col min="9230" max="9472" width="9.140625" style="179"/>
    <col min="9473" max="9473" width="59.5703125" style="179" customWidth="1"/>
    <col min="9474" max="9474" width="14" style="179" customWidth="1"/>
    <col min="9475" max="9475" width="13" style="179" customWidth="1"/>
    <col min="9476" max="9476" width="18.5703125" style="179" customWidth="1"/>
    <col min="9477" max="9477" width="21.85546875" style="179" customWidth="1"/>
    <col min="9478" max="9478" width="25.28515625" style="179" bestFit="1" customWidth="1"/>
    <col min="9479" max="9479" width="21.140625" style="179" customWidth="1"/>
    <col min="9480" max="9485" width="9.140625" style="179" customWidth="1"/>
    <col min="9486" max="9728" width="9.140625" style="179"/>
    <col min="9729" max="9729" width="59.5703125" style="179" customWidth="1"/>
    <col min="9730" max="9730" width="14" style="179" customWidth="1"/>
    <col min="9731" max="9731" width="13" style="179" customWidth="1"/>
    <col min="9732" max="9732" width="18.5703125" style="179" customWidth="1"/>
    <col min="9733" max="9733" width="21.85546875" style="179" customWidth="1"/>
    <col min="9734" max="9734" width="25.28515625" style="179" bestFit="1" customWidth="1"/>
    <col min="9735" max="9735" width="21.140625" style="179" customWidth="1"/>
    <col min="9736" max="9741" width="9.140625" style="179" customWidth="1"/>
    <col min="9742" max="9984" width="9.140625" style="179"/>
    <col min="9985" max="9985" width="59.5703125" style="179" customWidth="1"/>
    <col min="9986" max="9986" width="14" style="179" customWidth="1"/>
    <col min="9987" max="9987" width="13" style="179" customWidth="1"/>
    <col min="9988" max="9988" width="18.5703125" style="179" customWidth="1"/>
    <col min="9989" max="9989" width="21.85546875" style="179" customWidth="1"/>
    <col min="9990" max="9990" width="25.28515625" style="179" bestFit="1" customWidth="1"/>
    <col min="9991" max="9991" width="21.140625" style="179" customWidth="1"/>
    <col min="9992" max="9997" width="9.140625" style="179" customWidth="1"/>
    <col min="9998" max="10240" width="9.140625" style="179"/>
    <col min="10241" max="10241" width="59.5703125" style="179" customWidth="1"/>
    <col min="10242" max="10242" width="14" style="179" customWidth="1"/>
    <col min="10243" max="10243" width="13" style="179" customWidth="1"/>
    <col min="10244" max="10244" width="18.5703125" style="179" customWidth="1"/>
    <col min="10245" max="10245" width="21.85546875" style="179" customWidth="1"/>
    <col min="10246" max="10246" width="25.28515625" style="179" bestFit="1" customWidth="1"/>
    <col min="10247" max="10247" width="21.140625" style="179" customWidth="1"/>
    <col min="10248" max="10253" width="9.140625" style="179" customWidth="1"/>
    <col min="10254" max="10496" width="9.140625" style="179"/>
    <col min="10497" max="10497" width="59.5703125" style="179" customWidth="1"/>
    <col min="10498" max="10498" width="14" style="179" customWidth="1"/>
    <col min="10499" max="10499" width="13" style="179" customWidth="1"/>
    <col min="10500" max="10500" width="18.5703125" style="179" customWidth="1"/>
    <col min="10501" max="10501" width="21.85546875" style="179" customWidth="1"/>
    <col min="10502" max="10502" width="25.28515625" style="179" bestFit="1" customWidth="1"/>
    <col min="10503" max="10503" width="21.140625" style="179" customWidth="1"/>
    <col min="10504" max="10509" width="9.140625" style="179" customWidth="1"/>
    <col min="10510" max="10752" width="9.140625" style="179"/>
    <col min="10753" max="10753" width="59.5703125" style="179" customWidth="1"/>
    <col min="10754" max="10754" width="14" style="179" customWidth="1"/>
    <col min="10755" max="10755" width="13" style="179" customWidth="1"/>
    <col min="10756" max="10756" width="18.5703125" style="179" customWidth="1"/>
    <col min="10757" max="10757" width="21.85546875" style="179" customWidth="1"/>
    <col min="10758" max="10758" width="25.28515625" style="179" bestFit="1" customWidth="1"/>
    <col min="10759" max="10759" width="21.140625" style="179" customWidth="1"/>
    <col min="10760" max="10765" width="9.140625" style="179" customWidth="1"/>
    <col min="10766" max="11008" width="9.140625" style="179"/>
    <col min="11009" max="11009" width="59.5703125" style="179" customWidth="1"/>
    <col min="11010" max="11010" width="14" style="179" customWidth="1"/>
    <col min="11011" max="11011" width="13" style="179" customWidth="1"/>
    <col min="11012" max="11012" width="18.5703125" style="179" customWidth="1"/>
    <col min="11013" max="11013" width="21.85546875" style="179" customWidth="1"/>
    <col min="11014" max="11014" width="25.28515625" style="179" bestFit="1" customWidth="1"/>
    <col min="11015" max="11015" width="21.140625" style="179" customWidth="1"/>
    <col min="11016" max="11021" width="9.140625" style="179" customWidth="1"/>
    <col min="11022" max="11264" width="9.140625" style="179"/>
    <col min="11265" max="11265" width="59.5703125" style="179" customWidth="1"/>
    <col min="11266" max="11266" width="14" style="179" customWidth="1"/>
    <col min="11267" max="11267" width="13" style="179" customWidth="1"/>
    <col min="11268" max="11268" width="18.5703125" style="179" customWidth="1"/>
    <col min="11269" max="11269" width="21.85546875" style="179" customWidth="1"/>
    <col min="11270" max="11270" width="25.28515625" style="179" bestFit="1" customWidth="1"/>
    <col min="11271" max="11271" width="21.140625" style="179" customWidth="1"/>
    <col min="11272" max="11277" width="9.140625" style="179" customWidth="1"/>
    <col min="11278" max="11520" width="9.140625" style="179"/>
    <col min="11521" max="11521" width="59.5703125" style="179" customWidth="1"/>
    <col min="11522" max="11522" width="14" style="179" customWidth="1"/>
    <col min="11523" max="11523" width="13" style="179" customWidth="1"/>
    <col min="11524" max="11524" width="18.5703125" style="179" customWidth="1"/>
    <col min="11525" max="11525" width="21.85546875" style="179" customWidth="1"/>
    <col min="11526" max="11526" width="25.28515625" style="179" bestFit="1" customWidth="1"/>
    <col min="11527" max="11527" width="21.140625" style="179" customWidth="1"/>
    <col min="11528" max="11533" width="9.140625" style="179" customWidth="1"/>
    <col min="11534" max="11776" width="9.140625" style="179"/>
    <col min="11777" max="11777" width="59.5703125" style="179" customWidth="1"/>
    <col min="11778" max="11778" width="14" style="179" customWidth="1"/>
    <col min="11779" max="11779" width="13" style="179" customWidth="1"/>
    <col min="11780" max="11780" width="18.5703125" style="179" customWidth="1"/>
    <col min="11781" max="11781" width="21.85546875" style="179" customWidth="1"/>
    <col min="11782" max="11782" width="25.28515625" style="179" bestFit="1" customWidth="1"/>
    <col min="11783" max="11783" width="21.140625" style="179" customWidth="1"/>
    <col min="11784" max="11789" width="9.140625" style="179" customWidth="1"/>
    <col min="11790" max="12032" width="9.140625" style="179"/>
    <col min="12033" max="12033" width="59.5703125" style="179" customWidth="1"/>
    <col min="12034" max="12034" width="14" style="179" customWidth="1"/>
    <col min="12035" max="12035" width="13" style="179" customWidth="1"/>
    <col min="12036" max="12036" width="18.5703125" style="179" customWidth="1"/>
    <col min="12037" max="12037" width="21.85546875" style="179" customWidth="1"/>
    <col min="12038" max="12038" width="25.28515625" style="179" bestFit="1" customWidth="1"/>
    <col min="12039" max="12039" width="21.140625" style="179" customWidth="1"/>
    <col min="12040" max="12045" width="9.140625" style="179" customWidth="1"/>
    <col min="12046" max="12288" width="9.140625" style="179"/>
    <col min="12289" max="12289" width="59.5703125" style="179" customWidth="1"/>
    <col min="12290" max="12290" width="14" style="179" customWidth="1"/>
    <col min="12291" max="12291" width="13" style="179" customWidth="1"/>
    <col min="12292" max="12292" width="18.5703125" style="179" customWidth="1"/>
    <col min="12293" max="12293" width="21.85546875" style="179" customWidth="1"/>
    <col min="12294" max="12294" width="25.28515625" style="179" bestFit="1" customWidth="1"/>
    <col min="12295" max="12295" width="21.140625" style="179" customWidth="1"/>
    <col min="12296" max="12301" width="9.140625" style="179" customWidth="1"/>
    <col min="12302" max="12544" width="9.140625" style="179"/>
    <col min="12545" max="12545" width="59.5703125" style="179" customWidth="1"/>
    <col min="12546" max="12546" width="14" style="179" customWidth="1"/>
    <col min="12547" max="12547" width="13" style="179" customWidth="1"/>
    <col min="12548" max="12548" width="18.5703125" style="179" customWidth="1"/>
    <col min="12549" max="12549" width="21.85546875" style="179" customWidth="1"/>
    <col min="12550" max="12550" width="25.28515625" style="179" bestFit="1" customWidth="1"/>
    <col min="12551" max="12551" width="21.140625" style="179" customWidth="1"/>
    <col min="12552" max="12557" width="9.140625" style="179" customWidth="1"/>
    <col min="12558" max="12800" width="9.140625" style="179"/>
    <col min="12801" max="12801" width="59.5703125" style="179" customWidth="1"/>
    <col min="12802" max="12802" width="14" style="179" customWidth="1"/>
    <col min="12803" max="12803" width="13" style="179" customWidth="1"/>
    <col min="12804" max="12804" width="18.5703125" style="179" customWidth="1"/>
    <col min="12805" max="12805" width="21.85546875" style="179" customWidth="1"/>
    <col min="12806" max="12806" width="25.28515625" style="179" bestFit="1" customWidth="1"/>
    <col min="12807" max="12807" width="21.140625" style="179" customWidth="1"/>
    <col min="12808" max="12813" width="9.140625" style="179" customWidth="1"/>
    <col min="12814" max="13056" width="9.140625" style="179"/>
    <col min="13057" max="13057" width="59.5703125" style="179" customWidth="1"/>
    <col min="13058" max="13058" width="14" style="179" customWidth="1"/>
    <col min="13059" max="13059" width="13" style="179" customWidth="1"/>
    <col min="13060" max="13060" width="18.5703125" style="179" customWidth="1"/>
    <col min="13061" max="13061" width="21.85546875" style="179" customWidth="1"/>
    <col min="13062" max="13062" width="25.28515625" style="179" bestFit="1" customWidth="1"/>
    <col min="13063" max="13063" width="21.140625" style="179" customWidth="1"/>
    <col min="13064" max="13069" width="9.140625" style="179" customWidth="1"/>
    <col min="13070" max="13312" width="9.140625" style="179"/>
    <col min="13313" max="13313" width="59.5703125" style="179" customWidth="1"/>
    <col min="13314" max="13314" width="14" style="179" customWidth="1"/>
    <col min="13315" max="13315" width="13" style="179" customWidth="1"/>
    <col min="13316" max="13316" width="18.5703125" style="179" customWidth="1"/>
    <col min="13317" max="13317" width="21.85546875" style="179" customWidth="1"/>
    <col min="13318" max="13318" width="25.28515625" style="179" bestFit="1" customWidth="1"/>
    <col min="13319" max="13319" width="21.140625" style="179" customWidth="1"/>
    <col min="13320" max="13325" width="9.140625" style="179" customWidth="1"/>
    <col min="13326" max="13568" width="9.140625" style="179"/>
    <col min="13569" max="13569" width="59.5703125" style="179" customWidth="1"/>
    <col min="13570" max="13570" width="14" style="179" customWidth="1"/>
    <col min="13571" max="13571" width="13" style="179" customWidth="1"/>
    <col min="13572" max="13572" width="18.5703125" style="179" customWidth="1"/>
    <col min="13573" max="13573" width="21.85546875" style="179" customWidth="1"/>
    <col min="13574" max="13574" width="25.28515625" style="179" bestFit="1" customWidth="1"/>
    <col min="13575" max="13575" width="21.140625" style="179" customWidth="1"/>
    <col min="13576" max="13581" width="9.140625" style="179" customWidth="1"/>
    <col min="13582" max="13824" width="9.140625" style="179"/>
    <col min="13825" max="13825" width="59.5703125" style="179" customWidth="1"/>
    <col min="13826" max="13826" width="14" style="179" customWidth="1"/>
    <col min="13827" max="13827" width="13" style="179" customWidth="1"/>
    <col min="13828" max="13828" width="18.5703125" style="179" customWidth="1"/>
    <col min="13829" max="13829" width="21.85546875" style="179" customWidth="1"/>
    <col min="13830" max="13830" width="25.28515625" style="179" bestFit="1" customWidth="1"/>
    <col min="13831" max="13831" width="21.140625" style="179" customWidth="1"/>
    <col min="13832" max="13837" width="9.140625" style="179" customWidth="1"/>
    <col min="13838" max="14080" width="9.140625" style="179"/>
    <col min="14081" max="14081" width="59.5703125" style="179" customWidth="1"/>
    <col min="14082" max="14082" width="14" style="179" customWidth="1"/>
    <col min="14083" max="14083" width="13" style="179" customWidth="1"/>
    <col min="14084" max="14084" width="18.5703125" style="179" customWidth="1"/>
    <col min="14085" max="14085" width="21.85546875" style="179" customWidth="1"/>
    <col min="14086" max="14086" width="25.28515625" style="179" bestFit="1" customWidth="1"/>
    <col min="14087" max="14087" width="21.140625" style="179" customWidth="1"/>
    <col min="14088" max="14093" width="9.140625" style="179" customWidth="1"/>
    <col min="14094" max="14336" width="9.140625" style="179"/>
    <col min="14337" max="14337" width="59.5703125" style="179" customWidth="1"/>
    <col min="14338" max="14338" width="14" style="179" customWidth="1"/>
    <col min="14339" max="14339" width="13" style="179" customWidth="1"/>
    <col min="14340" max="14340" width="18.5703125" style="179" customWidth="1"/>
    <col min="14341" max="14341" width="21.85546875" style="179" customWidth="1"/>
    <col min="14342" max="14342" width="25.28515625" style="179" bestFit="1" customWidth="1"/>
    <col min="14343" max="14343" width="21.140625" style="179" customWidth="1"/>
    <col min="14344" max="14349" width="9.140625" style="179" customWidth="1"/>
    <col min="14350" max="14592" width="9.140625" style="179"/>
    <col min="14593" max="14593" width="59.5703125" style="179" customWidth="1"/>
    <col min="14594" max="14594" width="14" style="179" customWidth="1"/>
    <col min="14595" max="14595" width="13" style="179" customWidth="1"/>
    <col min="14596" max="14596" width="18.5703125" style="179" customWidth="1"/>
    <col min="14597" max="14597" width="21.85546875" style="179" customWidth="1"/>
    <col min="14598" max="14598" width="25.28515625" style="179" bestFit="1" customWidth="1"/>
    <col min="14599" max="14599" width="21.140625" style="179" customWidth="1"/>
    <col min="14600" max="14605" width="9.140625" style="179" customWidth="1"/>
    <col min="14606" max="14848" width="9.140625" style="179"/>
    <col min="14849" max="14849" width="59.5703125" style="179" customWidth="1"/>
    <col min="14850" max="14850" width="14" style="179" customWidth="1"/>
    <col min="14851" max="14851" width="13" style="179" customWidth="1"/>
    <col min="14852" max="14852" width="18.5703125" style="179" customWidth="1"/>
    <col min="14853" max="14853" width="21.85546875" style="179" customWidth="1"/>
    <col min="14854" max="14854" width="25.28515625" style="179" bestFit="1" customWidth="1"/>
    <col min="14855" max="14855" width="21.140625" style="179" customWidth="1"/>
    <col min="14856" max="14861" width="9.140625" style="179" customWidth="1"/>
    <col min="14862" max="15104" width="9.140625" style="179"/>
    <col min="15105" max="15105" width="59.5703125" style="179" customWidth="1"/>
    <col min="15106" max="15106" width="14" style="179" customWidth="1"/>
    <col min="15107" max="15107" width="13" style="179" customWidth="1"/>
    <col min="15108" max="15108" width="18.5703125" style="179" customWidth="1"/>
    <col min="15109" max="15109" width="21.85546875" style="179" customWidth="1"/>
    <col min="15110" max="15110" width="25.28515625" style="179" bestFit="1" customWidth="1"/>
    <col min="15111" max="15111" width="21.140625" style="179" customWidth="1"/>
    <col min="15112" max="15117" width="9.140625" style="179" customWidth="1"/>
    <col min="15118" max="15360" width="9.140625" style="179"/>
    <col min="15361" max="15361" width="59.5703125" style="179" customWidth="1"/>
    <col min="15362" max="15362" width="14" style="179" customWidth="1"/>
    <col min="15363" max="15363" width="13" style="179" customWidth="1"/>
    <col min="15364" max="15364" width="18.5703125" style="179" customWidth="1"/>
    <col min="15365" max="15365" width="21.85546875" style="179" customWidth="1"/>
    <col min="15366" max="15366" width="25.28515625" style="179" bestFit="1" customWidth="1"/>
    <col min="15367" max="15367" width="21.140625" style="179" customWidth="1"/>
    <col min="15368" max="15373" width="9.140625" style="179" customWidth="1"/>
    <col min="15374" max="15616" width="9.140625" style="179"/>
    <col min="15617" max="15617" width="59.5703125" style="179" customWidth="1"/>
    <col min="15618" max="15618" width="14" style="179" customWidth="1"/>
    <col min="15619" max="15619" width="13" style="179" customWidth="1"/>
    <col min="15620" max="15620" width="18.5703125" style="179" customWidth="1"/>
    <col min="15621" max="15621" width="21.85546875" style="179" customWidth="1"/>
    <col min="15622" max="15622" width="25.28515625" style="179" bestFit="1" customWidth="1"/>
    <col min="15623" max="15623" width="21.140625" style="179" customWidth="1"/>
    <col min="15624" max="15629" width="9.140625" style="179" customWidth="1"/>
    <col min="15630" max="15872" width="9.140625" style="179"/>
    <col min="15873" max="15873" width="59.5703125" style="179" customWidth="1"/>
    <col min="15874" max="15874" width="14" style="179" customWidth="1"/>
    <col min="15875" max="15875" width="13" style="179" customWidth="1"/>
    <col min="15876" max="15876" width="18.5703125" style="179" customWidth="1"/>
    <col min="15877" max="15877" width="21.85546875" style="179" customWidth="1"/>
    <col min="15878" max="15878" width="25.28515625" style="179" bestFit="1" customWidth="1"/>
    <col min="15879" max="15879" width="21.140625" style="179" customWidth="1"/>
    <col min="15880" max="15885" width="9.140625" style="179" customWidth="1"/>
    <col min="15886" max="16128" width="9.140625" style="179"/>
    <col min="16129" max="16129" width="59.5703125" style="179" customWidth="1"/>
    <col min="16130" max="16130" width="14" style="179" customWidth="1"/>
    <col min="16131" max="16131" width="13" style="179" customWidth="1"/>
    <col min="16132" max="16132" width="18.5703125" style="179" customWidth="1"/>
    <col min="16133" max="16133" width="21.85546875" style="179" customWidth="1"/>
    <col min="16134" max="16134" width="25.28515625" style="179" bestFit="1" customWidth="1"/>
    <col min="16135" max="16135" width="21.140625" style="179" customWidth="1"/>
    <col min="16136" max="16141" width="9.140625" style="179" customWidth="1"/>
    <col min="16142" max="16384" width="9.140625" style="179"/>
  </cols>
  <sheetData>
    <row r="2" spans="1:12">
      <c r="A2" s="722" t="s">
        <v>384</v>
      </c>
      <c r="B2" s="722"/>
      <c r="C2" s="722"/>
      <c r="D2" s="722"/>
      <c r="E2" s="722"/>
      <c r="F2" s="722"/>
      <c r="G2" s="722"/>
    </row>
    <row r="3" spans="1:12">
      <c r="A3" s="723" t="s">
        <v>201</v>
      </c>
      <c r="B3" s="723"/>
      <c r="C3" s="723"/>
      <c r="D3" s="723"/>
      <c r="E3" s="723"/>
      <c r="F3" s="723"/>
      <c r="G3" s="723"/>
    </row>
    <row r="4" spans="1:12" hidden="1"/>
    <row r="5" spans="1:12">
      <c r="A5" s="724" t="s">
        <v>202</v>
      </c>
      <c r="B5" s="724"/>
      <c r="C5" s="725">
        <v>3.6</v>
      </c>
      <c r="D5" s="726" t="s">
        <v>203</v>
      </c>
      <c r="E5" s="727"/>
      <c r="F5" s="727"/>
      <c r="G5" s="728"/>
    </row>
    <row r="6" spans="1:12" ht="66.75" customHeight="1">
      <c r="A6" s="724"/>
      <c r="B6" s="724"/>
      <c r="C6" s="725"/>
      <c r="D6" s="729"/>
      <c r="E6" s="730"/>
      <c r="F6" s="730"/>
      <c r="G6" s="731"/>
      <c r="H6" s="180"/>
      <c r="I6" s="180"/>
      <c r="J6" s="180"/>
      <c r="K6" s="180"/>
      <c r="L6" s="180"/>
    </row>
    <row r="7" spans="1:12">
      <c r="A7" s="732"/>
      <c r="B7" s="732"/>
      <c r="C7" s="732"/>
      <c r="D7" s="732"/>
      <c r="E7" s="732"/>
      <c r="F7" s="732"/>
      <c r="G7" s="732"/>
      <c r="H7" s="180"/>
      <c r="I7" s="180"/>
      <c r="J7" s="180"/>
      <c r="K7" s="180"/>
      <c r="L7" s="180"/>
    </row>
    <row r="8" spans="1:12" ht="45">
      <c r="A8" s="717" t="s">
        <v>204</v>
      </c>
      <c r="B8" s="717"/>
      <c r="C8" s="181" t="s">
        <v>205</v>
      </c>
      <c r="D8" s="182" t="s">
        <v>206</v>
      </c>
      <c r="E8" s="181" t="s">
        <v>207</v>
      </c>
      <c r="F8" s="181" t="s">
        <v>208</v>
      </c>
      <c r="G8" s="181" t="s">
        <v>209</v>
      </c>
      <c r="H8" s="180"/>
      <c r="I8" s="180"/>
      <c r="J8" s="180"/>
      <c r="K8" s="180"/>
      <c r="L8" s="180"/>
    </row>
    <row r="9" spans="1:12" ht="17.25" customHeight="1">
      <c r="A9" s="718" t="s">
        <v>210</v>
      </c>
      <c r="B9" s="719"/>
      <c r="C9" s="719"/>
      <c r="D9" s="719"/>
      <c r="E9" s="720"/>
      <c r="F9" s="183">
        <v>0.06</v>
      </c>
      <c r="G9" s="184"/>
      <c r="H9" s="180"/>
      <c r="I9" s="180"/>
      <c r="J9" s="180"/>
      <c r="K9" s="180"/>
      <c r="L9" s="180"/>
    </row>
    <row r="10" spans="1:12">
      <c r="A10" s="185" t="s">
        <v>211</v>
      </c>
      <c r="B10" s="185"/>
      <c r="C10" s="186">
        <v>1200</v>
      </c>
      <c r="D10" s="187">
        <v>44</v>
      </c>
      <c r="E10" s="188">
        <f>C5*D10</f>
        <v>158.4</v>
      </c>
      <c r="F10" s="186">
        <f>C10*F9</f>
        <v>72</v>
      </c>
      <c r="G10" s="186">
        <f>E10-F10</f>
        <v>86.4</v>
      </c>
      <c r="H10" s="180"/>
      <c r="I10" s="180"/>
      <c r="J10" s="180"/>
      <c r="K10" s="180"/>
      <c r="L10" s="180"/>
    </row>
    <row r="11" spans="1:12">
      <c r="A11" s="185" t="s">
        <v>212</v>
      </c>
      <c r="B11" s="185"/>
      <c r="C11" s="186">
        <v>1200</v>
      </c>
      <c r="D11" s="187">
        <v>44</v>
      </c>
      <c r="E11" s="188">
        <f>C5*D11</f>
        <v>158.4</v>
      </c>
      <c r="F11" s="186">
        <f>C11*F9</f>
        <v>72</v>
      </c>
      <c r="G11" s="186">
        <f>E11-F11</f>
        <v>86.4</v>
      </c>
      <c r="H11" s="180"/>
      <c r="I11" s="180"/>
      <c r="J11" s="180"/>
      <c r="K11" s="180"/>
      <c r="L11" s="180"/>
    </row>
    <row r="12" spans="1:12">
      <c r="A12" s="185" t="s">
        <v>216</v>
      </c>
      <c r="B12" s="185"/>
      <c r="C12" s="186">
        <v>1200</v>
      </c>
      <c r="D12" s="187">
        <v>44</v>
      </c>
      <c r="E12" s="188">
        <f>C5*D12</f>
        <v>158.4</v>
      </c>
      <c r="F12" s="186">
        <f>C12*F9</f>
        <v>72</v>
      </c>
      <c r="G12" s="186">
        <f>E12-F12</f>
        <v>86.4</v>
      </c>
      <c r="H12" s="180"/>
      <c r="I12" s="180"/>
      <c r="J12" s="180"/>
      <c r="K12" s="180"/>
      <c r="L12" s="180"/>
    </row>
    <row r="13" spans="1:12">
      <c r="A13" s="189"/>
      <c r="B13" s="189"/>
      <c r="C13" s="189"/>
      <c r="D13" s="190"/>
      <c r="E13" s="191"/>
      <c r="F13" s="191"/>
      <c r="G13" s="191"/>
    </row>
    <row r="14" spans="1:12">
      <c r="A14" s="721" t="s">
        <v>217</v>
      </c>
      <c r="B14" s="721"/>
      <c r="C14" s="192"/>
      <c r="D14" s="192"/>
      <c r="E14" s="192"/>
    </row>
    <row r="15" spans="1:12">
      <c r="A15" s="193" t="s">
        <v>213</v>
      </c>
      <c r="B15" s="194">
        <v>15</v>
      </c>
      <c r="C15" s="195"/>
      <c r="D15" s="195"/>
      <c r="E15" s="195"/>
    </row>
    <row r="16" spans="1:12">
      <c r="A16" s="196" t="s">
        <v>39</v>
      </c>
      <c r="B16" s="197">
        <v>22</v>
      </c>
      <c r="C16" s="198"/>
      <c r="D16" s="198"/>
      <c r="E16" s="198"/>
      <c r="G16" s="199"/>
    </row>
    <row r="17" spans="1:6">
      <c r="A17" s="193" t="s">
        <v>214</v>
      </c>
      <c r="B17" s="200">
        <v>5.5</v>
      </c>
      <c r="C17" s="195"/>
      <c r="D17" s="195"/>
      <c r="E17" s="195"/>
    </row>
    <row r="18" spans="1:6">
      <c r="A18" s="201" t="s">
        <v>215</v>
      </c>
      <c r="B18" s="202">
        <f>(B15*B16)-B17</f>
        <v>324.5</v>
      </c>
      <c r="C18" s="203"/>
      <c r="D18" s="203"/>
      <c r="E18" s="203"/>
      <c r="F18" s="204"/>
    </row>
    <row r="126" spans="8:9">
      <c r="H126" s="205"/>
      <c r="I126" s="205"/>
    </row>
  </sheetData>
  <mergeCells count="9">
    <mergeCell ref="A8:B8"/>
    <mergeCell ref="A9:E9"/>
    <mergeCell ref="A14:B14"/>
    <mergeCell ref="A2:G2"/>
    <mergeCell ref="A3:G3"/>
    <mergeCell ref="A5:B6"/>
    <mergeCell ref="C5:C6"/>
    <mergeCell ref="D5:G6"/>
    <mergeCell ref="A7:G7"/>
  </mergeCells>
  <dataValidations count="1">
    <dataValidation type="decimal" allowBlank="1" showInputMessage="1" showErrorMessage="1" promptTitle="Partic. do funcionário no ticket" prompt="Preencher com o valor da participação do funcionário no custeio do vale-alimentação." sqref="B17:E17 IX17:JA17 ST17:SW17 ACP17:ACS17 AML17:AMO17 AWH17:AWK17 BGD17:BGG17 BPZ17:BQC17 BZV17:BZY17 CJR17:CJU17 CTN17:CTQ17 DDJ17:DDM17 DNF17:DNI17 DXB17:DXE17 EGX17:EHA17 EQT17:EQW17 FAP17:FAS17 FKL17:FKO17 FUH17:FUK17 GED17:GEG17 GNZ17:GOC17 GXV17:GXY17 HHR17:HHU17 HRN17:HRQ17 IBJ17:IBM17 ILF17:ILI17 IVB17:IVE17 JEX17:JFA17 JOT17:JOW17 JYP17:JYS17 KIL17:KIO17 KSH17:KSK17 LCD17:LCG17 LLZ17:LMC17 LVV17:LVY17 MFR17:MFU17 MPN17:MPQ17 MZJ17:MZM17 NJF17:NJI17 NTB17:NTE17 OCX17:ODA17 OMT17:OMW17 OWP17:OWS17 PGL17:PGO17 PQH17:PQK17 QAD17:QAG17 QJZ17:QKC17 QTV17:QTY17 RDR17:RDU17 RNN17:RNQ17 RXJ17:RXM17 SHF17:SHI17 SRB17:SRE17 TAX17:TBA17 TKT17:TKW17 TUP17:TUS17 UEL17:UEO17 UOH17:UOK17 UYD17:UYG17 VHZ17:VIC17 VRV17:VRY17 WBR17:WBU17 WLN17:WLQ17 WVJ17:WVM17 B65553:E65553 IX65553:JA65553 ST65553:SW65553 ACP65553:ACS65553 AML65553:AMO65553 AWH65553:AWK65553 BGD65553:BGG65553 BPZ65553:BQC65553 BZV65553:BZY65553 CJR65553:CJU65553 CTN65553:CTQ65553 DDJ65553:DDM65553 DNF65553:DNI65553 DXB65553:DXE65553 EGX65553:EHA65553 EQT65553:EQW65553 FAP65553:FAS65553 FKL65553:FKO65553 FUH65553:FUK65553 GED65553:GEG65553 GNZ65553:GOC65553 GXV65553:GXY65553 HHR65553:HHU65553 HRN65553:HRQ65553 IBJ65553:IBM65553 ILF65553:ILI65553 IVB65553:IVE65553 JEX65553:JFA65553 JOT65553:JOW65553 JYP65553:JYS65553 KIL65553:KIO65553 KSH65553:KSK65553 LCD65553:LCG65553 LLZ65553:LMC65553 LVV65553:LVY65553 MFR65553:MFU65553 MPN65553:MPQ65553 MZJ65553:MZM65553 NJF65553:NJI65553 NTB65553:NTE65553 OCX65553:ODA65553 OMT65553:OMW65553 OWP65553:OWS65553 PGL65553:PGO65553 PQH65553:PQK65553 QAD65553:QAG65553 QJZ65553:QKC65553 QTV65553:QTY65553 RDR65553:RDU65553 RNN65553:RNQ65553 RXJ65553:RXM65553 SHF65553:SHI65553 SRB65553:SRE65553 TAX65553:TBA65553 TKT65553:TKW65553 TUP65553:TUS65553 UEL65553:UEO65553 UOH65553:UOK65553 UYD65553:UYG65553 VHZ65553:VIC65553 VRV65553:VRY65553 WBR65553:WBU65553 WLN65553:WLQ65553 WVJ65553:WVM65553 B131089:E131089 IX131089:JA131089 ST131089:SW131089 ACP131089:ACS131089 AML131089:AMO131089 AWH131089:AWK131089 BGD131089:BGG131089 BPZ131089:BQC131089 BZV131089:BZY131089 CJR131089:CJU131089 CTN131089:CTQ131089 DDJ131089:DDM131089 DNF131089:DNI131089 DXB131089:DXE131089 EGX131089:EHA131089 EQT131089:EQW131089 FAP131089:FAS131089 FKL131089:FKO131089 FUH131089:FUK131089 GED131089:GEG131089 GNZ131089:GOC131089 GXV131089:GXY131089 HHR131089:HHU131089 HRN131089:HRQ131089 IBJ131089:IBM131089 ILF131089:ILI131089 IVB131089:IVE131089 JEX131089:JFA131089 JOT131089:JOW131089 JYP131089:JYS131089 KIL131089:KIO131089 KSH131089:KSK131089 LCD131089:LCG131089 LLZ131089:LMC131089 LVV131089:LVY131089 MFR131089:MFU131089 MPN131089:MPQ131089 MZJ131089:MZM131089 NJF131089:NJI131089 NTB131089:NTE131089 OCX131089:ODA131089 OMT131089:OMW131089 OWP131089:OWS131089 PGL131089:PGO131089 PQH131089:PQK131089 QAD131089:QAG131089 QJZ131089:QKC131089 QTV131089:QTY131089 RDR131089:RDU131089 RNN131089:RNQ131089 RXJ131089:RXM131089 SHF131089:SHI131089 SRB131089:SRE131089 TAX131089:TBA131089 TKT131089:TKW131089 TUP131089:TUS131089 UEL131089:UEO131089 UOH131089:UOK131089 UYD131089:UYG131089 VHZ131089:VIC131089 VRV131089:VRY131089 WBR131089:WBU131089 WLN131089:WLQ131089 WVJ131089:WVM131089 B196625:E196625 IX196625:JA196625 ST196625:SW196625 ACP196625:ACS196625 AML196625:AMO196625 AWH196625:AWK196625 BGD196625:BGG196625 BPZ196625:BQC196625 BZV196625:BZY196625 CJR196625:CJU196625 CTN196625:CTQ196625 DDJ196625:DDM196625 DNF196625:DNI196625 DXB196625:DXE196625 EGX196625:EHA196625 EQT196625:EQW196625 FAP196625:FAS196625 FKL196625:FKO196625 FUH196625:FUK196625 GED196625:GEG196625 GNZ196625:GOC196625 GXV196625:GXY196625 HHR196625:HHU196625 HRN196625:HRQ196625 IBJ196625:IBM196625 ILF196625:ILI196625 IVB196625:IVE196625 JEX196625:JFA196625 JOT196625:JOW196625 JYP196625:JYS196625 KIL196625:KIO196625 KSH196625:KSK196625 LCD196625:LCG196625 LLZ196625:LMC196625 LVV196625:LVY196625 MFR196625:MFU196625 MPN196625:MPQ196625 MZJ196625:MZM196625 NJF196625:NJI196625 NTB196625:NTE196625 OCX196625:ODA196625 OMT196625:OMW196625 OWP196625:OWS196625 PGL196625:PGO196625 PQH196625:PQK196625 QAD196625:QAG196625 QJZ196625:QKC196625 QTV196625:QTY196625 RDR196625:RDU196625 RNN196625:RNQ196625 RXJ196625:RXM196625 SHF196625:SHI196625 SRB196625:SRE196625 TAX196625:TBA196625 TKT196625:TKW196625 TUP196625:TUS196625 UEL196625:UEO196625 UOH196625:UOK196625 UYD196625:UYG196625 VHZ196625:VIC196625 VRV196625:VRY196625 WBR196625:WBU196625 WLN196625:WLQ196625 WVJ196625:WVM196625 B262161:E262161 IX262161:JA262161 ST262161:SW262161 ACP262161:ACS262161 AML262161:AMO262161 AWH262161:AWK262161 BGD262161:BGG262161 BPZ262161:BQC262161 BZV262161:BZY262161 CJR262161:CJU262161 CTN262161:CTQ262161 DDJ262161:DDM262161 DNF262161:DNI262161 DXB262161:DXE262161 EGX262161:EHA262161 EQT262161:EQW262161 FAP262161:FAS262161 FKL262161:FKO262161 FUH262161:FUK262161 GED262161:GEG262161 GNZ262161:GOC262161 GXV262161:GXY262161 HHR262161:HHU262161 HRN262161:HRQ262161 IBJ262161:IBM262161 ILF262161:ILI262161 IVB262161:IVE262161 JEX262161:JFA262161 JOT262161:JOW262161 JYP262161:JYS262161 KIL262161:KIO262161 KSH262161:KSK262161 LCD262161:LCG262161 LLZ262161:LMC262161 LVV262161:LVY262161 MFR262161:MFU262161 MPN262161:MPQ262161 MZJ262161:MZM262161 NJF262161:NJI262161 NTB262161:NTE262161 OCX262161:ODA262161 OMT262161:OMW262161 OWP262161:OWS262161 PGL262161:PGO262161 PQH262161:PQK262161 QAD262161:QAG262161 QJZ262161:QKC262161 QTV262161:QTY262161 RDR262161:RDU262161 RNN262161:RNQ262161 RXJ262161:RXM262161 SHF262161:SHI262161 SRB262161:SRE262161 TAX262161:TBA262161 TKT262161:TKW262161 TUP262161:TUS262161 UEL262161:UEO262161 UOH262161:UOK262161 UYD262161:UYG262161 VHZ262161:VIC262161 VRV262161:VRY262161 WBR262161:WBU262161 WLN262161:WLQ262161 WVJ262161:WVM262161 B327697:E327697 IX327697:JA327697 ST327697:SW327697 ACP327697:ACS327697 AML327697:AMO327697 AWH327697:AWK327697 BGD327697:BGG327697 BPZ327697:BQC327697 BZV327697:BZY327697 CJR327697:CJU327697 CTN327697:CTQ327697 DDJ327697:DDM327697 DNF327697:DNI327697 DXB327697:DXE327697 EGX327697:EHA327697 EQT327697:EQW327697 FAP327697:FAS327697 FKL327697:FKO327697 FUH327697:FUK327697 GED327697:GEG327697 GNZ327697:GOC327697 GXV327697:GXY327697 HHR327697:HHU327697 HRN327697:HRQ327697 IBJ327697:IBM327697 ILF327697:ILI327697 IVB327697:IVE327697 JEX327697:JFA327697 JOT327697:JOW327697 JYP327697:JYS327697 KIL327697:KIO327697 KSH327697:KSK327697 LCD327697:LCG327697 LLZ327697:LMC327697 LVV327697:LVY327697 MFR327697:MFU327697 MPN327697:MPQ327697 MZJ327697:MZM327697 NJF327697:NJI327697 NTB327697:NTE327697 OCX327697:ODA327697 OMT327697:OMW327697 OWP327697:OWS327697 PGL327697:PGO327697 PQH327697:PQK327697 QAD327697:QAG327697 QJZ327697:QKC327697 QTV327697:QTY327697 RDR327697:RDU327697 RNN327697:RNQ327697 RXJ327697:RXM327697 SHF327697:SHI327697 SRB327697:SRE327697 TAX327697:TBA327697 TKT327697:TKW327697 TUP327697:TUS327697 UEL327697:UEO327697 UOH327697:UOK327697 UYD327697:UYG327697 VHZ327697:VIC327697 VRV327697:VRY327697 WBR327697:WBU327697 WLN327697:WLQ327697 WVJ327697:WVM327697 B393233:E393233 IX393233:JA393233 ST393233:SW393233 ACP393233:ACS393233 AML393233:AMO393233 AWH393233:AWK393233 BGD393233:BGG393233 BPZ393233:BQC393233 BZV393233:BZY393233 CJR393233:CJU393233 CTN393233:CTQ393233 DDJ393233:DDM393233 DNF393233:DNI393233 DXB393233:DXE393233 EGX393233:EHA393233 EQT393233:EQW393233 FAP393233:FAS393233 FKL393233:FKO393233 FUH393233:FUK393233 GED393233:GEG393233 GNZ393233:GOC393233 GXV393233:GXY393233 HHR393233:HHU393233 HRN393233:HRQ393233 IBJ393233:IBM393233 ILF393233:ILI393233 IVB393233:IVE393233 JEX393233:JFA393233 JOT393233:JOW393233 JYP393233:JYS393233 KIL393233:KIO393233 KSH393233:KSK393233 LCD393233:LCG393233 LLZ393233:LMC393233 LVV393233:LVY393233 MFR393233:MFU393233 MPN393233:MPQ393233 MZJ393233:MZM393233 NJF393233:NJI393233 NTB393233:NTE393233 OCX393233:ODA393233 OMT393233:OMW393233 OWP393233:OWS393233 PGL393233:PGO393233 PQH393233:PQK393233 QAD393233:QAG393233 QJZ393233:QKC393233 QTV393233:QTY393233 RDR393233:RDU393233 RNN393233:RNQ393233 RXJ393233:RXM393233 SHF393233:SHI393233 SRB393233:SRE393233 TAX393233:TBA393233 TKT393233:TKW393233 TUP393233:TUS393233 UEL393233:UEO393233 UOH393233:UOK393233 UYD393233:UYG393233 VHZ393233:VIC393233 VRV393233:VRY393233 WBR393233:WBU393233 WLN393233:WLQ393233 WVJ393233:WVM393233 B458769:E458769 IX458769:JA458769 ST458769:SW458769 ACP458769:ACS458769 AML458769:AMO458769 AWH458769:AWK458769 BGD458769:BGG458769 BPZ458769:BQC458769 BZV458769:BZY458769 CJR458769:CJU458769 CTN458769:CTQ458769 DDJ458769:DDM458769 DNF458769:DNI458769 DXB458769:DXE458769 EGX458769:EHA458769 EQT458769:EQW458769 FAP458769:FAS458769 FKL458769:FKO458769 FUH458769:FUK458769 GED458769:GEG458769 GNZ458769:GOC458769 GXV458769:GXY458769 HHR458769:HHU458769 HRN458769:HRQ458769 IBJ458769:IBM458769 ILF458769:ILI458769 IVB458769:IVE458769 JEX458769:JFA458769 JOT458769:JOW458769 JYP458769:JYS458769 KIL458769:KIO458769 KSH458769:KSK458769 LCD458769:LCG458769 LLZ458769:LMC458769 LVV458769:LVY458769 MFR458769:MFU458769 MPN458769:MPQ458769 MZJ458769:MZM458769 NJF458769:NJI458769 NTB458769:NTE458769 OCX458769:ODA458769 OMT458769:OMW458769 OWP458769:OWS458769 PGL458769:PGO458769 PQH458769:PQK458769 QAD458769:QAG458769 QJZ458769:QKC458769 QTV458769:QTY458769 RDR458769:RDU458769 RNN458769:RNQ458769 RXJ458769:RXM458769 SHF458769:SHI458769 SRB458769:SRE458769 TAX458769:TBA458769 TKT458769:TKW458769 TUP458769:TUS458769 UEL458769:UEO458769 UOH458769:UOK458769 UYD458769:UYG458769 VHZ458769:VIC458769 VRV458769:VRY458769 WBR458769:WBU458769 WLN458769:WLQ458769 WVJ458769:WVM458769 B524305:E524305 IX524305:JA524305 ST524305:SW524305 ACP524305:ACS524305 AML524305:AMO524305 AWH524305:AWK524305 BGD524305:BGG524305 BPZ524305:BQC524305 BZV524305:BZY524305 CJR524305:CJU524305 CTN524305:CTQ524305 DDJ524305:DDM524305 DNF524305:DNI524305 DXB524305:DXE524305 EGX524305:EHA524305 EQT524305:EQW524305 FAP524305:FAS524305 FKL524305:FKO524305 FUH524305:FUK524305 GED524305:GEG524305 GNZ524305:GOC524305 GXV524305:GXY524305 HHR524305:HHU524305 HRN524305:HRQ524305 IBJ524305:IBM524305 ILF524305:ILI524305 IVB524305:IVE524305 JEX524305:JFA524305 JOT524305:JOW524305 JYP524305:JYS524305 KIL524305:KIO524305 KSH524305:KSK524305 LCD524305:LCG524305 LLZ524305:LMC524305 LVV524305:LVY524305 MFR524305:MFU524305 MPN524305:MPQ524305 MZJ524305:MZM524305 NJF524305:NJI524305 NTB524305:NTE524305 OCX524305:ODA524305 OMT524305:OMW524305 OWP524305:OWS524305 PGL524305:PGO524305 PQH524305:PQK524305 QAD524305:QAG524305 QJZ524305:QKC524305 QTV524305:QTY524305 RDR524305:RDU524305 RNN524305:RNQ524305 RXJ524305:RXM524305 SHF524305:SHI524305 SRB524305:SRE524305 TAX524305:TBA524305 TKT524305:TKW524305 TUP524305:TUS524305 UEL524305:UEO524305 UOH524305:UOK524305 UYD524305:UYG524305 VHZ524305:VIC524305 VRV524305:VRY524305 WBR524305:WBU524305 WLN524305:WLQ524305 WVJ524305:WVM524305 B589841:E589841 IX589841:JA589841 ST589841:SW589841 ACP589841:ACS589841 AML589841:AMO589841 AWH589841:AWK589841 BGD589841:BGG589841 BPZ589841:BQC589841 BZV589841:BZY589841 CJR589841:CJU589841 CTN589841:CTQ589841 DDJ589841:DDM589841 DNF589841:DNI589841 DXB589841:DXE589841 EGX589841:EHA589841 EQT589841:EQW589841 FAP589841:FAS589841 FKL589841:FKO589841 FUH589841:FUK589841 GED589841:GEG589841 GNZ589841:GOC589841 GXV589841:GXY589841 HHR589841:HHU589841 HRN589841:HRQ589841 IBJ589841:IBM589841 ILF589841:ILI589841 IVB589841:IVE589841 JEX589841:JFA589841 JOT589841:JOW589841 JYP589841:JYS589841 KIL589841:KIO589841 KSH589841:KSK589841 LCD589841:LCG589841 LLZ589841:LMC589841 LVV589841:LVY589841 MFR589841:MFU589841 MPN589841:MPQ589841 MZJ589841:MZM589841 NJF589841:NJI589841 NTB589841:NTE589841 OCX589841:ODA589841 OMT589841:OMW589841 OWP589841:OWS589841 PGL589841:PGO589841 PQH589841:PQK589841 QAD589841:QAG589841 QJZ589841:QKC589841 QTV589841:QTY589841 RDR589841:RDU589841 RNN589841:RNQ589841 RXJ589841:RXM589841 SHF589841:SHI589841 SRB589841:SRE589841 TAX589841:TBA589841 TKT589841:TKW589841 TUP589841:TUS589841 UEL589841:UEO589841 UOH589841:UOK589841 UYD589841:UYG589841 VHZ589841:VIC589841 VRV589841:VRY589841 WBR589841:WBU589841 WLN589841:WLQ589841 WVJ589841:WVM589841 B655377:E655377 IX655377:JA655377 ST655377:SW655377 ACP655377:ACS655377 AML655377:AMO655377 AWH655377:AWK655377 BGD655377:BGG655377 BPZ655377:BQC655377 BZV655377:BZY655377 CJR655377:CJU655377 CTN655377:CTQ655377 DDJ655377:DDM655377 DNF655377:DNI655377 DXB655377:DXE655377 EGX655377:EHA655377 EQT655377:EQW655377 FAP655377:FAS655377 FKL655377:FKO655377 FUH655377:FUK655377 GED655377:GEG655377 GNZ655377:GOC655377 GXV655377:GXY655377 HHR655377:HHU655377 HRN655377:HRQ655377 IBJ655377:IBM655377 ILF655377:ILI655377 IVB655377:IVE655377 JEX655377:JFA655377 JOT655377:JOW655377 JYP655377:JYS655377 KIL655377:KIO655377 KSH655377:KSK655377 LCD655377:LCG655377 LLZ655377:LMC655377 LVV655377:LVY655377 MFR655377:MFU655377 MPN655377:MPQ655377 MZJ655377:MZM655377 NJF655377:NJI655377 NTB655377:NTE655377 OCX655377:ODA655377 OMT655377:OMW655377 OWP655377:OWS655377 PGL655377:PGO655377 PQH655377:PQK655377 QAD655377:QAG655377 QJZ655377:QKC655377 QTV655377:QTY655377 RDR655377:RDU655377 RNN655377:RNQ655377 RXJ655377:RXM655377 SHF655377:SHI655377 SRB655377:SRE655377 TAX655377:TBA655377 TKT655377:TKW655377 TUP655377:TUS655377 UEL655377:UEO655377 UOH655377:UOK655377 UYD655377:UYG655377 VHZ655377:VIC655377 VRV655377:VRY655377 WBR655377:WBU655377 WLN655377:WLQ655377 WVJ655377:WVM655377 B720913:E720913 IX720913:JA720913 ST720913:SW720913 ACP720913:ACS720913 AML720913:AMO720913 AWH720913:AWK720913 BGD720913:BGG720913 BPZ720913:BQC720913 BZV720913:BZY720913 CJR720913:CJU720913 CTN720913:CTQ720913 DDJ720913:DDM720913 DNF720913:DNI720913 DXB720913:DXE720913 EGX720913:EHA720913 EQT720913:EQW720913 FAP720913:FAS720913 FKL720913:FKO720913 FUH720913:FUK720913 GED720913:GEG720913 GNZ720913:GOC720913 GXV720913:GXY720913 HHR720913:HHU720913 HRN720913:HRQ720913 IBJ720913:IBM720913 ILF720913:ILI720913 IVB720913:IVE720913 JEX720913:JFA720913 JOT720913:JOW720913 JYP720913:JYS720913 KIL720913:KIO720913 KSH720913:KSK720913 LCD720913:LCG720913 LLZ720913:LMC720913 LVV720913:LVY720913 MFR720913:MFU720913 MPN720913:MPQ720913 MZJ720913:MZM720913 NJF720913:NJI720913 NTB720913:NTE720913 OCX720913:ODA720913 OMT720913:OMW720913 OWP720913:OWS720913 PGL720913:PGO720913 PQH720913:PQK720913 QAD720913:QAG720913 QJZ720913:QKC720913 QTV720913:QTY720913 RDR720913:RDU720913 RNN720913:RNQ720913 RXJ720913:RXM720913 SHF720913:SHI720913 SRB720913:SRE720913 TAX720913:TBA720913 TKT720913:TKW720913 TUP720913:TUS720913 UEL720913:UEO720913 UOH720913:UOK720913 UYD720913:UYG720913 VHZ720913:VIC720913 VRV720913:VRY720913 WBR720913:WBU720913 WLN720913:WLQ720913 WVJ720913:WVM720913 B786449:E786449 IX786449:JA786449 ST786449:SW786449 ACP786449:ACS786449 AML786449:AMO786449 AWH786449:AWK786449 BGD786449:BGG786449 BPZ786449:BQC786449 BZV786449:BZY786449 CJR786449:CJU786449 CTN786449:CTQ786449 DDJ786449:DDM786449 DNF786449:DNI786449 DXB786449:DXE786449 EGX786449:EHA786449 EQT786449:EQW786449 FAP786449:FAS786449 FKL786449:FKO786449 FUH786449:FUK786449 GED786449:GEG786449 GNZ786449:GOC786449 GXV786449:GXY786449 HHR786449:HHU786449 HRN786449:HRQ786449 IBJ786449:IBM786449 ILF786449:ILI786449 IVB786449:IVE786449 JEX786449:JFA786449 JOT786449:JOW786449 JYP786449:JYS786449 KIL786449:KIO786449 KSH786449:KSK786449 LCD786449:LCG786449 LLZ786449:LMC786449 LVV786449:LVY786449 MFR786449:MFU786449 MPN786449:MPQ786449 MZJ786449:MZM786449 NJF786449:NJI786449 NTB786449:NTE786449 OCX786449:ODA786449 OMT786449:OMW786449 OWP786449:OWS786449 PGL786449:PGO786449 PQH786449:PQK786449 QAD786449:QAG786449 QJZ786449:QKC786449 QTV786449:QTY786449 RDR786449:RDU786449 RNN786449:RNQ786449 RXJ786449:RXM786449 SHF786449:SHI786449 SRB786449:SRE786449 TAX786449:TBA786449 TKT786449:TKW786449 TUP786449:TUS786449 UEL786449:UEO786449 UOH786449:UOK786449 UYD786449:UYG786449 VHZ786449:VIC786449 VRV786449:VRY786449 WBR786449:WBU786449 WLN786449:WLQ786449 WVJ786449:WVM786449 B851985:E851985 IX851985:JA851985 ST851985:SW851985 ACP851985:ACS851985 AML851985:AMO851985 AWH851985:AWK851985 BGD851985:BGG851985 BPZ851985:BQC851985 BZV851985:BZY851985 CJR851985:CJU851985 CTN851985:CTQ851985 DDJ851985:DDM851985 DNF851985:DNI851985 DXB851985:DXE851985 EGX851985:EHA851985 EQT851985:EQW851985 FAP851985:FAS851985 FKL851985:FKO851985 FUH851985:FUK851985 GED851985:GEG851985 GNZ851985:GOC851985 GXV851985:GXY851985 HHR851985:HHU851985 HRN851985:HRQ851985 IBJ851985:IBM851985 ILF851985:ILI851985 IVB851985:IVE851985 JEX851985:JFA851985 JOT851985:JOW851985 JYP851985:JYS851985 KIL851985:KIO851985 KSH851985:KSK851985 LCD851985:LCG851985 LLZ851985:LMC851985 LVV851985:LVY851985 MFR851985:MFU851985 MPN851985:MPQ851985 MZJ851985:MZM851985 NJF851985:NJI851985 NTB851985:NTE851985 OCX851985:ODA851985 OMT851985:OMW851985 OWP851985:OWS851985 PGL851985:PGO851985 PQH851985:PQK851985 QAD851985:QAG851985 QJZ851985:QKC851985 QTV851985:QTY851985 RDR851985:RDU851985 RNN851985:RNQ851985 RXJ851985:RXM851985 SHF851985:SHI851985 SRB851985:SRE851985 TAX851985:TBA851985 TKT851985:TKW851985 TUP851985:TUS851985 UEL851985:UEO851985 UOH851985:UOK851985 UYD851985:UYG851985 VHZ851985:VIC851985 VRV851985:VRY851985 WBR851985:WBU851985 WLN851985:WLQ851985 WVJ851985:WVM851985 B917521:E917521 IX917521:JA917521 ST917521:SW917521 ACP917521:ACS917521 AML917521:AMO917521 AWH917521:AWK917521 BGD917521:BGG917521 BPZ917521:BQC917521 BZV917521:BZY917521 CJR917521:CJU917521 CTN917521:CTQ917521 DDJ917521:DDM917521 DNF917521:DNI917521 DXB917521:DXE917521 EGX917521:EHA917521 EQT917521:EQW917521 FAP917521:FAS917521 FKL917521:FKO917521 FUH917521:FUK917521 GED917521:GEG917521 GNZ917521:GOC917521 GXV917521:GXY917521 HHR917521:HHU917521 HRN917521:HRQ917521 IBJ917521:IBM917521 ILF917521:ILI917521 IVB917521:IVE917521 JEX917521:JFA917521 JOT917521:JOW917521 JYP917521:JYS917521 KIL917521:KIO917521 KSH917521:KSK917521 LCD917521:LCG917521 LLZ917521:LMC917521 LVV917521:LVY917521 MFR917521:MFU917521 MPN917521:MPQ917521 MZJ917521:MZM917521 NJF917521:NJI917521 NTB917521:NTE917521 OCX917521:ODA917521 OMT917521:OMW917521 OWP917521:OWS917521 PGL917521:PGO917521 PQH917521:PQK917521 QAD917521:QAG917521 QJZ917521:QKC917521 QTV917521:QTY917521 RDR917521:RDU917521 RNN917521:RNQ917521 RXJ917521:RXM917521 SHF917521:SHI917521 SRB917521:SRE917521 TAX917521:TBA917521 TKT917521:TKW917521 TUP917521:TUS917521 UEL917521:UEO917521 UOH917521:UOK917521 UYD917521:UYG917521 VHZ917521:VIC917521 VRV917521:VRY917521 WBR917521:WBU917521 WLN917521:WLQ917521 WVJ917521:WVM917521 B983057:E983057 IX983057:JA983057 ST983057:SW983057 ACP983057:ACS983057 AML983057:AMO983057 AWH983057:AWK983057 BGD983057:BGG983057 BPZ983057:BQC983057 BZV983057:BZY983057 CJR983057:CJU983057 CTN983057:CTQ983057 DDJ983057:DDM983057 DNF983057:DNI983057 DXB983057:DXE983057 EGX983057:EHA983057 EQT983057:EQW983057 FAP983057:FAS983057 FKL983057:FKO983057 FUH983057:FUK983057 GED983057:GEG983057 GNZ983057:GOC983057 GXV983057:GXY983057 HHR983057:HHU983057 HRN983057:HRQ983057 IBJ983057:IBM983057 ILF983057:ILI983057 IVB983057:IVE983057 JEX983057:JFA983057 JOT983057:JOW983057 JYP983057:JYS983057 KIL983057:KIO983057 KSH983057:KSK983057 LCD983057:LCG983057 LLZ983057:LMC983057 LVV983057:LVY983057 MFR983057:MFU983057 MPN983057:MPQ983057 MZJ983057:MZM983057 NJF983057:NJI983057 NTB983057:NTE983057 OCX983057:ODA983057 OMT983057:OMW983057 OWP983057:OWS983057 PGL983057:PGO983057 PQH983057:PQK983057 QAD983057:QAG983057 QJZ983057:QKC983057 QTV983057:QTY983057 RDR983057:RDU983057 RNN983057:RNQ983057 RXJ983057:RXM983057 SHF983057:SHI983057 SRB983057:SRE983057 TAX983057:TBA983057 TKT983057:TKW983057 TUP983057:TUS983057 UEL983057:UEO983057 UOH983057:UOK983057 UYD983057:UYG983057 VHZ983057:VIC983057 VRV983057:VRY983057 WBR983057:WBU983057 WLN983057:WLQ983057 WVJ983057:WVM983057">
      <formula1>0</formula1>
      <formula2>50</formula2>
    </dataValidation>
  </dataValidations>
  <printOptions horizontalCentered="1"/>
  <pageMargins left="0.70866141732283472" right="0.70866141732283472" top="1.5748031496062993" bottom="0.74803149606299213" header="0.31496062992125984" footer="0.31496062992125984"/>
  <pageSetup paperSize="9" scale="77" orientation="landscape" r:id="rId1"/>
  <headerFooter>
    <oddFooter>Página &amp;P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5098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PROPOSTA</vt:lpstr>
      <vt:lpstr>SERVENTE REAL</vt:lpstr>
      <vt:lpstr>ENCARREGADO</vt:lpstr>
      <vt:lpstr>VI - Demonstrativo final REAL</vt:lpstr>
      <vt:lpstr>III - Insumos</vt:lpstr>
      <vt:lpstr>Uniforme</vt:lpstr>
      <vt:lpstr>TRANSPORTE</vt:lpstr>
      <vt:lpstr>Plan1</vt:lpstr>
      <vt:lpstr>PROPOSTA!Area_de_impressao</vt:lpstr>
      <vt:lpstr>TRANSPORTE!Area_de_impressao</vt:lpstr>
      <vt:lpstr>'III - Insumos'!Titulos_de_impressao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</dc:creator>
  <cp:lastModifiedBy>Jerilly Paula Souto</cp:lastModifiedBy>
  <cp:revision>25</cp:revision>
  <cp:lastPrinted>2019-01-24T17:11:15Z</cp:lastPrinted>
  <dcterms:created xsi:type="dcterms:W3CDTF">2009-04-16T11:32:48Z</dcterms:created>
  <dcterms:modified xsi:type="dcterms:W3CDTF">2019-01-30T17:21:58Z</dcterms:modified>
  <dc:language>pt-BR</dc:language>
</cp:coreProperties>
</file>